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360" windowHeight="5385" tabRatio="721" activeTab="6"/>
  </bookViews>
  <sheets>
    <sheet name="Czas rozgrzewania" sheetId="5" r:id="rId1"/>
    <sheet name="Efektywność grzania gazowego" sheetId="7" r:id="rId2"/>
    <sheet name="Wysokość i 10 półka" sheetId="4" r:id="rId3"/>
    <sheet name="Wypełnienie" sheetId="1" r:id="rId4"/>
    <sheet name="Czy to dobry wynik" sheetId="10" r:id="rId5"/>
    <sheet name="Koszty wytworzenia" sheetId="2" r:id="rId6"/>
    <sheet name="Bufor" sheetId="8" r:id="rId7"/>
    <sheet name="Półka OLM z rury" sheetId="9" r:id="rId8"/>
  </sheets>
  <calcPr calcId="124519"/>
</workbook>
</file>

<file path=xl/calcChain.xml><?xml version="1.0" encoding="utf-8"?>
<calcChain xmlns="http://schemas.openxmlformats.org/spreadsheetml/2006/main">
  <c r="C8" i="8"/>
  <c r="C10" s="1"/>
  <c r="E3"/>
  <c r="E8" l="1"/>
  <c r="E9"/>
  <c r="B13" i="5"/>
  <c r="B16" i="1"/>
  <c r="B14"/>
  <c r="B4"/>
  <c r="C3" i="9"/>
  <c r="C11" s="1"/>
  <c r="C14" s="1"/>
  <c r="H5" i="10" l="1"/>
  <c r="D17"/>
  <c r="E17" s="1"/>
  <c r="D16"/>
  <c r="E16" s="1"/>
  <c r="D11"/>
  <c r="E11" s="1"/>
  <c r="D10"/>
  <c r="E10" s="1"/>
  <c r="D9"/>
  <c r="E9" s="1"/>
  <c r="D8"/>
  <c r="E8" s="1"/>
  <c r="D7"/>
  <c r="E7" s="1"/>
  <c r="D6"/>
  <c r="E6" s="1"/>
  <c r="D5"/>
  <c r="E5" s="1"/>
  <c r="E4"/>
  <c r="D4"/>
  <c r="D3"/>
  <c r="E3" s="1"/>
  <c r="D2"/>
  <c r="E2" s="1"/>
  <c r="C10" i="9"/>
  <c r="D18" i="10" l="1"/>
  <c r="E18" s="1"/>
  <c r="D12"/>
  <c r="I8" s="1"/>
  <c r="I18" l="1"/>
  <c r="I19" s="1"/>
  <c r="E12"/>
  <c r="I9"/>
  <c r="F7"/>
  <c r="F18"/>
  <c r="F19" l="1"/>
  <c r="F21" s="1"/>
  <c r="F8"/>
  <c r="F10" s="1"/>
  <c r="E11" i="2" l="1"/>
  <c r="E10"/>
  <c r="B6" i="7"/>
  <c r="B9"/>
  <c r="B6" i="5" l="1"/>
  <c r="B9" s="1"/>
  <c r="B10" l="1"/>
  <c r="B12" s="1"/>
  <c r="B11" i="4"/>
  <c r="B5"/>
  <c r="D20" i="2" l="1"/>
  <c r="E17"/>
  <c r="E16"/>
  <c r="E13"/>
  <c r="E14"/>
  <c r="E15"/>
  <c r="E3"/>
  <c r="E4"/>
  <c r="E5"/>
  <c r="E6"/>
  <c r="E7"/>
  <c r="E8"/>
  <c r="E9"/>
  <c r="E12"/>
  <c r="E2"/>
  <c r="E18" l="1"/>
  <c r="D22" s="1"/>
  <c r="E21"/>
  <c r="D23" l="1"/>
  <c r="B7" i="1" l="1"/>
  <c r="B9" s="1"/>
  <c r="B11" s="1"/>
</calcChain>
</file>

<file path=xl/sharedStrings.xml><?xml version="1.0" encoding="utf-8"?>
<sst xmlns="http://schemas.openxmlformats.org/spreadsheetml/2006/main" count="227" uniqueCount="155">
  <si>
    <t>Średnica wewnętrzna</t>
  </si>
  <si>
    <t>Wysokość na wypełnienie</t>
  </si>
  <si>
    <t>Masa łaczna zmywaków</t>
  </si>
  <si>
    <t>Masa jednego zmywaka</t>
  </si>
  <si>
    <t>Ilość zmywaków</t>
  </si>
  <si>
    <t>mm</t>
  </si>
  <si>
    <t>cm</t>
  </si>
  <si>
    <t>l</t>
  </si>
  <si>
    <t>Zakres zalecany 260-280g/l</t>
  </si>
  <si>
    <t>Lidl-owskie 21g</t>
  </si>
  <si>
    <t>Objętość kolumny</t>
  </si>
  <si>
    <t>Ubicie zmywaków</t>
  </si>
  <si>
    <t>g</t>
  </si>
  <si>
    <t>sztuk</t>
  </si>
  <si>
    <t>Obliczanie objetości kolumny</t>
  </si>
  <si>
    <t>Zmywaki</t>
  </si>
  <si>
    <t>Koszt</t>
  </si>
  <si>
    <t>Lidl około 1 zł za sztukę(2,89 za 3)</t>
  </si>
  <si>
    <t>Cena zmywaka</t>
  </si>
  <si>
    <t>zł</t>
  </si>
  <si>
    <t>Sprężynki</t>
  </si>
  <si>
    <t>Cena za l</t>
  </si>
  <si>
    <t>Obliczeniowy próg zalania</t>
  </si>
  <si>
    <t>W</t>
  </si>
  <si>
    <t>Maksymalne obciążenie cieplne</t>
  </si>
  <si>
    <t>Szacowany koszt</t>
  </si>
  <si>
    <t>Wypełnienie 2 -HETP</t>
  </si>
  <si>
    <t>Wypełnienie 1(dolne) - HETP</t>
  </si>
  <si>
    <t>Termometr 10 półka - umiejscowienie obliczenia uproszczone(bez kotła i podparć)</t>
  </si>
  <si>
    <t>Wysokość zasypu wypełnienie 1</t>
  </si>
  <si>
    <t>cm wypełnienia 2(jeżeli 1 rodzaj to 1)</t>
  </si>
  <si>
    <t>Wysokość pomieszczenia</t>
  </si>
  <si>
    <t>Wysokość zbiornika</t>
  </si>
  <si>
    <t>To co zostanie na kolumne i dodatki</t>
  </si>
  <si>
    <t>Wysokość głowicy(od złącza z kolumną)</t>
  </si>
  <si>
    <t>Sprężynki plipek 115 W/cm^2</t>
  </si>
  <si>
    <t>Ilość</t>
  </si>
  <si>
    <t>Surowiec</t>
  </si>
  <si>
    <t>Drożdże</t>
  </si>
  <si>
    <t>Pożywki</t>
  </si>
  <si>
    <t>Węgiel do nastwu/zacieru</t>
  </si>
  <si>
    <t>Woda do nastwu/zacieru</t>
  </si>
  <si>
    <t>Klaryfikator</t>
  </si>
  <si>
    <t>Woda do chłodzenia</t>
  </si>
  <si>
    <t>Glukoza</t>
  </si>
  <si>
    <t>Fruktoza</t>
  </si>
  <si>
    <t>Owoce</t>
  </si>
  <si>
    <t>Zboże</t>
  </si>
  <si>
    <t>Inne</t>
  </si>
  <si>
    <t>Melasa</t>
  </si>
  <si>
    <t>Cukier buraczany</t>
  </si>
  <si>
    <t>Cukier trzcinowy</t>
  </si>
  <si>
    <t>Energia elektryczna</t>
  </si>
  <si>
    <t>Gaz ziemny</t>
  </si>
  <si>
    <t>Propan butan</t>
  </si>
  <si>
    <t>Paliwo stałe</t>
  </si>
  <si>
    <t>Cena jednostkowa</t>
  </si>
  <si>
    <t>Czas</t>
  </si>
  <si>
    <t>Nastawianie</t>
  </si>
  <si>
    <t>Przygotowanie do procesu</t>
  </si>
  <si>
    <t>Proces</t>
  </si>
  <si>
    <t>Łącznie</t>
  </si>
  <si>
    <t>Urobek użyteczny</t>
  </si>
  <si>
    <t>%</t>
  </si>
  <si>
    <t>Alkohol 100%</t>
  </si>
  <si>
    <t>Stężenie docelowe</t>
  </si>
  <si>
    <t>Koszt przeliczeniowy 1l 96%</t>
  </si>
  <si>
    <t>Koszt domowej produkcji zawartości butelki 0,5l do spożycia</t>
  </si>
  <si>
    <t>Ilość wsadu</t>
  </si>
  <si>
    <t>Temperatura początkowa wsadu</t>
  </si>
  <si>
    <t>Zakładana temperatura wrzenia</t>
  </si>
  <si>
    <t>Różnica temperatur</t>
  </si>
  <si>
    <t>Czas rozgrzewania</t>
  </si>
  <si>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</si>
  <si>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t>kW</t>
  </si>
  <si>
    <t>min</t>
  </si>
  <si>
    <t>Zużyta energia</t>
  </si>
  <si>
    <t>kWh</t>
  </si>
  <si>
    <t>Koszt rozgrzewania</t>
  </si>
  <si>
    <t>Cena 1 kWh</t>
  </si>
  <si>
    <t>% nastawu</t>
  </si>
  <si>
    <t>Temperatura wrzenia</t>
  </si>
  <si>
    <t>Moc wsadu</t>
  </si>
  <si>
    <t>Współczynnik eksperymentalny</t>
  </si>
  <si>
    <t>Moc grzałek nominalna/rzeczywista</t>
  </si>
  <si>
    <r>
      <t>kW*min/l*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</t>
    </r>
  </si>
  <si>
    <t>Po wpisaniu mocy temperatura jest szczytywana z rybki do mocy 30%</t>
  </si>
  <si>
    <t>Przeliczenie efektywnej mocy grzewczej taboretu(na moc grzałki)</t>
  </si>
  <si>
    <t>Efektywna moc grzania gazowego</t>
  </si>
  <si>
    <t>Obliczeniowe położenie termometru</t>
  </si>
  <si>
    <t>Uwaga</t>
  </si>
  <si>
    <t>Rozgrzewanie</t>
  </si>
  <si>
    <t>Moc</t>
  </si>
  <si>
    <t>kw</t>
  </si>
  <si>
    <t>Dla energii elektrycznej</t>
  </si>
  <si>
    <t>Przy obliczeniowym umieszczeniu termometru MOŻLIWY skok temperatury(nawet do 0,5 stopnia) po "otwarciu" odbioru z zalecaną prędkością - warto przy pierwszym użyciu aparatu poznać typową wartość dla swojej kolumny. Do wartości obliczonej można też zastosować dodatkowy zapas 5-10 cm.</t>
  </si>
  <si>
    <t>Średnica kolumny</t>
  </si>
  <si>
    <t>śr wew</t>
  </si>
  <si>
    <t>śr zew</t>
  </si>
  <si>
    <t>wysokość</t>
  </si>
  <si>
    <t>Wysokość od dna do przelewu</t>
  </si>
  <si>
    <t>cm2</t>
  </si>
  <si>
    <t>Średnica kolumny wew</t>
  </si>
  <si>
    <t>Rura na półkę</t>
  </si>
  <si>
    <t>Rurka na przelew</t>
  </si>
  <si>
    <t>Grubość ścianki</t>
  </si>
  <si>
    <t>Pojemność jeziorka</t>
  </si>
  <si>
    <t>ml</t>
  </si>
  <si>
    <t>Można wpisać ręcznie</t>
  </si>
  <si>
    <t>Moc zalaniowa dla niezasypanej półki OLM</t>
  </si>
  <si>
    <t>Wolny przekrój przy półce</t>
  </si>
  <si>
    <t xml:space="preserve">Eksperymentalny współczynik </t>
  </si>
  <si>
    <t>Zakres</t>
  </si>
  <si>
    <t>400 - 450</t>
  </si>
  <si>
    <t>W/cm2</t>
  </si>
  <si>
    <t>Moc zalania dla półki</t>
  </si>
  <si>
    <t>Ilość [l]</t>
  </si>
  <si>
    <t>100% alkohol</t>
  </si>
  <si>
    <t>Cukier[kg]</t>
  </si>
  <si>
    <t>Serce</t>
  </si>
  <si>
    <t>% z Blg</t>
  </si>
  <si>
    <t>Blg początkowe</t>
  </si>
  <si>
    <t>Blg końcowe</t>
  </si>
  <si>
    <t>Wydajność serca</t>
  </si>
  <si>
    <t>Wartości w 20 stopniach</t>
  </si>
  <si>
    <t>l/kg</t>
  </si>
  <si>
    <t>Odzysk ze zbiornika</t>
  </si>
  <si>
    <t>Wynik</t>
  </si>
  <si>
    <t>SUMA</t>
  </si>
  <si>
    <t>Odpady</t>
  </si>
  <si>
    <t>Przedgony</t>
  </si>
  <si>
    <t>UWAGA - Powyżej 97% ilość zaliczna wprost</t>
  </si>
  <si>
    <t>Pogony</t>
  </si>
  <si>
    <t>Wydajność z odpadami</t>
  </si>
  <si>
    <t>Odzysk z odpadami</t>
  </si>
  <si>
    <t>II - z różnicy Blg</t>
  </si>
  <si>
    <t>III -z % wsadu</t>
  </si>
  <si>
    <t>Ilość wsadu [l]- przy wariantach II i III</t>
  </si>
  <si>
    <t>I - z cukru użytego</t>
  </si>
  <si>
    <t>Możliwe warianty obliczeniowe - wariant I niezależny od II i III</t>
  </si>
  <si>
    <t>Jak wykorzystać maksymalnie wysokość pomieszczenia - wysokość aparatu</t>
  </si>
  <si>
    <t>Natężenie prądu przy rozgrzewaniu</t>
  </si>
  <si>
    <t>A</t>
  </si>
  <si>
    <t>Разогрев - приблизительное время</t>
  </si>
  <si>
    <t>D1</t>
  </si>
  <si>
    <t>D2</t>
  </si>
  <si>
    <t>D3</t>
  </si>
  <si>
    <t>H</t>
  </si>
  <si>
    <t>L</t>
  </si>
  <si>
    <t>V cube</t>
  </si>
  <si>
    <t>V buf</t>
  </si>
  <si>
    <t>V cube / V buf</t>
  </si>
  <si>
    <t>K min</t>
  </si>
  <si>
    <t>K max</t>
  </si>
  <si>
    <t>K min &lt; ( V cube / V buf)  &lt; K max</t>
  </si>
</sst>
</file>

<file path=xl/styles.xml><?xml version="1.0" encoding="utf-8"?>
<styleSheet xmlns="http://schemas.openxmlformats.org/spreadsheetml/2006/main">
  <numFmts count="1">
    <numFmt numFmtId="164" formatCode="0.0000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2" xfId="0" applyFill="1" applyBorder="1"/>
    <xf numFmtId="0" fontId="0" fillId="3" borderId="0" xfId="0" applyFill="1"/>
    <xf numFmtId="0" fontId="0" fillId="3" borderId="3" xfId="0" applyFill="1" applyBorder="1"/>
    <xf numFmtId="0" fontId="0" fillId="0" borderId="1" xfId="0" applyFill="1" applyBorder="1"/>
    <xf numFmtId="1" fontId="0" fillId="2" borderId="1" xfId="0" applyNumberFormat="1" applyFill="1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0" fillId="0" borderId="7" xfId="0" applyFill="1" applyBorder="1"/>
    <xf numFmtId="0" fontId="0" fillId="0" borderId="8" xfId="0" applyFill="1" applyBorder="1"/>
    <xf numFmtId="0" fontId="0" fillId="0" borderId="0" xfId="0" applyFont="1" applyAlignment="1"/>
    <xf numFmtId="0" fontId="3" fillId="0" borderId="1" xfId="0" applyFont="1" applyBorder="1"/>
    <xf numFmtId="0" fontId="0" fillId="7" borderId="1" xfId="0" applyFill="1" applyBorder="1"/>
    <xf numFmtId="0" fontId="0" fillId="3" borderId="1" xfId="0" applyFill="1" applyBorder="1" applyAlignment="1"/>
    <xf numFmtId="0" fontId="0" fillId="0" borderId="1" xfId="0" applyBorder="1" applyAlignment="1"/>
    <xf numFmtId="0" fontId="2" fillId="0" borderId="0" xfId="1"/>
    <xf numFmtId="0" fontId="2" fillId="8" borderId="1" xfId="1" applyFill="1" applyBorder="1"/>
    <xf numFmtId="9" fontId="2" fillId="8" borderId="1" xfId="1" applyNumberFormat="1" applyFill="1" applyBorder="1"/>
    <xf numFmtId="0" fontId="2" fillId="3" borderId="1" xfId="1" applyFill="1" applyBorder="1"/>
    <xf numFmtId="0" fontId="2" fillId="2" borderId="1" xfId="1" applyFill="1" applyBorder="1"/>
    <xf numFmtId="0" fontId="2" fillId="3" borderId="3" xfId="1" applyFill="1" applyBorder="1"/>
    <xf numFmtId="0" fontId="2" fillId="0" borderId="0" xfId="1" applyBorder="1"/>
    <xf numFmtId="0" fontId="2" fillId="8" borderId="2" xfId="1" applyFill="1" applyBorder="1"/>
    <xf numFmtId="0" fontId="2" fillId="8" borderId="3" xfId="1" applyFill="1" applyBorder="1"/>
    <xf numFmtId="0" fontId="2" fillId="7" borderId="1" xfId="1" applyFill="1" applyBorder="1"/>
    <xf numFmtId="0" fontId="2" fillId="5" borderId="1" xfId="1" applyFill="1" applyBorder="1"/>
    <xf numFmtId="164" fontId="2" fillId="5" borderId="1" xfId="1" applyNumberFormat="1" applyFill="1" applyBorder="1"/>
    <xf numFmtId="0" fontId="2" fillId="8" borderId="1" xfId="1" applyFill="1" applyBorder="1" applyAlignment="1">
      <alignment horizontal="center"/>
    </xf>
    <xf numFmtId="0" fontId="2" fillId="0" borderId="9" xfId="1" applyBorder="1"/>
    <xf numFmtId="9" fontId="2" fillId="8" borderId="3" xfId="1" applyNumberFormat="1" applyFill="1" applyBorder="1"/>
    <xf numFmtId="0" fontId="2" fillId="4" borderId="1" xfId="1" applyFill="1" applyBorder="1"/>
    <xf numFmtId="1" fontId="2" fillId="2" borderId="1" xfId="1" applyNumberFormat="1" applyFill="1" applyBorder="1"/>
    <xf numFmtId="0" fontId="2" fillId="6" borderId="1" xfId="1" applyFill="1" applyBorder="1"/>
    <xf numFmtId="0" fontId="2" fillId="8" borderId="4" xfId="1" applyFill="1" applyBorder="1" applyAlignment="1"/>
    <xf numFmtId="0" fontId="2" fillId="0" borderId="0" xfId="1" applyBorder="1" applyAlignment="1"/>
    <xf numFmtId="0" fontId="2" fillId="0" borderId="1" xfId="1" applyBorder="1" applyAlignment="1"/>
    <xf numFmtId="2" fontId="0" fillId="2" borderId="1" xfId="0" applyNumberFormat="1" applyFill="1" applyBorder="1"/>
    <xf numFmtId="0" fontId="1" fillId="0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8" borderId="1" xfId="1" applyFill="1" applyBorder="1" applyAlignment="1">
      <alignment horizontal="center"/>
    </xf>
    <xf numFmtId="0" fontId="2" fillId="8" borderId="4" xfId="1" applyFill="1" applyBorder="1" applyAlignment="1">
      <alignment horizontal="center"/>
    </xf>
    <xf numFmtId="0" fontId="2" fillId="8" borderId="5" xfId="1" applyFill="1" applyBorder="1" applyAlignment="1">
      <alignment horizontal="center"/>
    </xf>
    <xf numFmtId="0" fontId="1" fillId="8" borderId="1" xfId="1" applyFont="1" applyFill="1" applyBorder="1" applyAlignment="1">
      <alignment horizontal="center"/>
    </xf>
    <xf numFmtId="0" fontId="2" fillId="0" borderId="10" xfId="1" applyBorder="1" applyAlignment="1">
      <alignment horizontal="center"/>
    </xf>
    <xf numFmtId="0" fontId="2" fillId="8" borderId="6" xfId="1" applyFill="1" applyBorder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7" borderId="4" xfId="1" applyFill="1" applyBorder="1" applyAlignment="1">
      <alignment horizontal="center"/>
    </xf>
    <xf numFmtId="0" fontId="2" fillId="7" borderId="6" xfId="1" applyFill="1" applyBorder="1" applyAlignment="1">
      <alignment horizontal="center"/>
    </xf>
    <xf numFmtId="0" fontId="2" fillId="7" borderId="5" xfId="1" applyFill="1" applyBorder="1" applyAlignment="1">
      <alignment horizontal="center"/>
    </xf>
    <xf numFmtId="0" fontId="5" fillId="0" borderId="1" xfId="1" applyFont="1" applyBorder="1" applyAlignment="1">
      <alignment horizontal="center" vertical="center" textRotation="255"/>
    </xf>
    <xf numFmtId="0" fontId="2" fillId="7" borderId="1" xfId="1" applyFill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8" borderId="8" xfId="1" applyFill="1" applyBorder="1" applyAlignment="1">
      <alignment horizontal="center"/>
    </xf>
    <xf numFmtId="0" fontId="2" fillId="8" borderId="7" xfId="1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9" borderId="0" xfId="0" applyFill="1"/>
    <xf numFmtId="0" fontId="0" fillId="0" borderId="0" xfId="0" applyFill="1"/>
    <xf numFmtId="0" fontId="6" fillId="0" borderId="0" xfId="0" applyFont="1"/>
    <xf numFmtId="0" fontId="6" fillId="0" borderId="1" xfId="0" applyFont="1" applyBorder="1"/>
    <xf numFmtId="0" fontId="0" fillId="10" borderId="1" xfId="0" applyFill="1" applyBorder="1"/>
  </cellXfs>
  <cellStyles count="2">
    <cellStyle name="Normalny 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38099</xdr:colOff>
      <xdr:row>9</xdr:row>
      <xdr:rowOff>85725</xdr:rowOff>
    </xdr:from>
    <xdr:to>
      <xdr:col>13</xdr:col>
      <xdr:colOff>123726</xdr:colOff>
      <xdr:row>14</xdr:row>
      <xdr:rowOff>142875</xdr:rowOff>
    </xdr:to>
    <xdr:pic>
      <xdr:nvPicPr>
        <xdr:cNvPr id="2" name="Obraz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2014" t="9024" r="1566" b="10605"/>
        <a:stretch/>
      </xdr:blipFill>
      <xdr:spPr>
        <a:xfrm>
          <a:off x="3524249" y="1800225"/>
          <a:ext cx="4486177" cy="1009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219808</xdr:colOff>
      <xdr:row>0</xdr:row>
      <xdr:rowOff>212480</xdr:rowOff>
    </xdr:from>
    <xdr:to>
      <xdr:col>0</xdr:col>
      <xdr:colOff>1560634</xdr:colOff>
      <xdr:row>18</xdr:row>
      <xdr:rowOff>141613</xdr:rowOff>
    </xdr:to>
    <xdr:pic>
      <xdr:nvPicPr>
        <xdr:cNvPr id="3" name="Рисунок 2" descr="BUF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808" y="212480"/>
          <a:ext cx="1340826" cy="35266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zoomScale="130" zoomScaleNormal="130" workbookViewId="0">
      <selection activeCell="A2" sqref="A2"/>
    </sheetView>
  </sheetViews>
  <sheetFormatPr defaultRowHeight="15"/>
  <cols>
    <col min="1" max="1" width="33" bestFit="1" customWidth="1"/>
    <col min="2" max="2" width="9.28515625" customWidth="1"/>
    <col min="3" max="3" width="14.140625" customWidth="1"/>
    <col min="4" max="4" width="31.85546875" customWidth="1"/>
    <col min="5" max="5" width="9.28515625" bestFit="1" customWidth="1"/>
    <col min="6" max="6" width="13.140625" bestFit="1" customWidth="1"/>
    <col min="7" max="7" width="10.42578125" hidden="1" customWidth="1"/>
    <col min="8" max="8" width="20.140625" hidden="1" customWidth="1"/>
    <col min="9" max="9" width="34.28515625" customWidth="1"/>
  </cols>
  <sheetData>
    <row r="1" spans="1:9">
      <c r="A1" s="41" t="s">
        <v>143</v>
      </c>
      <c r="B1" s="42"/>
      <c r="C1" s="42"/>
      <c r="G1" t="s">
        <v>80</v>
      </c>
      <c r="H1" t="s">
        <v>81</v>
      </c>
      <c r="I1" s="10"/>
    </row>
    <row r="2" spans="1:9">
      <c r="A2" s="1" t="s">
        <v>68</v>
      </c>
      <c r="B2" s="3"/>
      <c r="C2" s="1" t="s">
        <v>7</v>
      </c>
      <c r="G2">
        <v>1</v>
      </c>
      <c r="H2">
        <v>99.3</v>
      </c>
      <c r="I2" s="10"/>
    </row>
    <row r="3" spans="1:9" ht="17.25">
      <c r="A3" s="1" t="s">
        <v>69</v>
      </c>
      <c r="B3" s="3"/>
      <c r="C3" s="14" t="s">
        <v>73</v>
      </c>
      <c r="G3">
        <v>2</v>
      </c>
      <c r="H3">
        <v>98.6</v>
      </c>
      <c r="I3" s="10"/>
    </row>
    <row r="4" spans="1:9">
      <c r="A4" s="1" t="s">
        <v>82</v>
      </c>
      <c r="B4" s="3"/>
      <c r="C4" s="1" t="s">
        <v>63</v>
      </c>
      <c r="D4" s="43" t="s">
        <v>86</v>
      </c>
      <c r="G4">
        <v>3</v>
      </c>
      <c r="H4">
        <v>97.8</v>
      </c>
      <c r="I4" s="10"/>
    </row>
    <row r="5" spans="1:9" ht="17.25">
      <c r="A5" s="1" t="s">
        <v>70</v>
      </c>
      <c r="B5" s="3"/>
      <c r="C5" s="14" t="s">
        <v>73</v>
      </c>
      <c r="D5" s="43"/>
      <c r="G5">
        <v>4</v>
      </c>
      <c r="H5">
        <v>97.3</v>
      </c>
      <c r="I5" s="10"/>
    </row>
    <row r="6" spans="1:9" ht="17.25">
      <c r="A6" s="1" t="s">
        <v>71</v>
      </c>
      <c r="B6" s="2">
        <f>IF(B4=0,B5,LOOKUP(B4,G2:G32,H2:H32))-B3</f>
        <v>0</v>
      </c>
      <c r="C6" s="14" t="s">
        <v>73</v>
      </c>
      <c r="G6">
        <v>5</v>
      </c>
      <c r="H6">
        <v>96.6</v>
      </c>
      <c r="I6" s="10"/>
    </row>
    <row r="7" spans="1:9">
      <c r="A7" s="1" t="s">
        <v>84</v>
      </c>
      <c r="B7" s="3"/>
      <c r="C7" s="14" t="s">
        <v>74</v>
      </c>
      <c r="G7">
        <v>6</v>
      </c>
      <c r="H7">
        <v>96</v>
      </c>
      <c r="I7" s="10"/>
    </row>
    <row r="8" spans="1:9" ht="17.25">
      <c r="A8" s="1" t="s">
        <v>83</v>
      </c>
      <c r="B8" s="3">
        <v>7.1999999999999995E-2</v>
      </c>
      <c r="C8" s="14" t="s">
        <v>85</v>
      </c>
      <c r="G8">
        <v>7</v>
      </c>
      <c r="H8">
        <v>95.4</v>
      </c>
      <c r="I8" s="10"/>
    </row>
    <row r="9" spans="1:9">
      <c r="A9" s="1" t="s">
        <v>72</v>
      </c>
      <c r="B9" s="39" t="e">
        <f>B8*B2*B6/B7</f>
        <v>#DIV/0!</v>
      </c>
      <c r="C9" s="14" t="s">
        <v>75</v>
      </c>
      <c r="G9">
        <v>8</v>
      </c>
      <c r="H9">
        <v>94.7</v>
      </c>
      <c r="I9" s="10"/>
    </row>
    <row r="10" spans="1:9">
      <c r="A10" s="1" t="s">
        <v>76</v>
      </c>
      <c r="B10" s="39" t="e">
        <f>B7*B9/60</f>
        <v>#DIV/0!</v>
      </c>
      <c r="C10" s="14" t="s">
        <v>77</v>
      </c>
      <c r="G10">
        <v>9</v>
      </c>
      <c r="H10">
        <v>94.2</v>
      </c>
      <c r="I10" s="10"/>
    </row>
    <row r="11" spans="1:9">
      <c r="A11" s="1" t="s">
        <v>79</v>
      </c>
      <c r="B11" s="3"/>
      <c r="C11" s="14" t="s">
        <v>19</v>
      </c>
      <c r="G11">
        <v>10</v>
      </c>
      <c r="H11">
        <v>93.6</v>
      </c>
      <c r="I11" s="10"/>
    </row>
    <row r="12" spans="1:9">
      <c r="A12" s="1" t="s">
        <v>78</v>
      </c>
      <c r="B12" s="2" t="e">
        <f>B10*B11</f>
        <v>#DIV/0!</v>
      </c>
      <c r="C12" s="1" t="s">
        <v>19</v>
      </c>
      <c r="G12">
        <v>11</v>
      </c>
      <c r="H12">
        <v>93</v>
      </c>
      <c r="I12" s="10"/>
    </row>
    <row r="13" spans="1:9">
      <c r="A13" s="7" t="s">
        <v>141</v>
      </c>
      <c r="B13" s="2">
        <f>B7*1000/230</f>
        <v>0</v>
      </c>
      <c r="C13" s="40" t="s">
        <v>142</v>
      </c>
      <c r="G13">
        <v>12</v>
      </c>
      <c r="H13">
        <v>92.5</v>
      </c>
      <c r="I13" s="10"/>
    </row>
    <row r="14" spans="1:9">
      <c r="G14">
        <v>13</v>
      </c>
      <c r="H14">
        <v>92</v>
      </c>
    </row>
    <row r="15" spans="1:9">
      <c r="G15">
        <v>14</v>
      </c>
      <c r="H15">
        <v>91.5</v>
      </c>
    </row>
    <row r="16" spans="1:9">
      <c r="G16">
        <v>15</v>
      </c>
      <c r="H16">
        <v>91</v>
      </c>
    </row>
    <row r="17" spans="7:8">
      <c r="G17">
        <v>16</v>
      </c>
      <c r="H17">
        <v>90.3</v>
      </c>
    </row>
    <row r="18" spans="7:8">
      <c r="G18">
        <v>17</v>
      </c>
      <c r="H18">
        <v>89.8</v>
      </c>
    </row>
    <row r="19" spans="7:8">
      <c r="G19">
        <v>18</v>
      </c>
      <c r="H19">
        <v>89.5</v>
      </c>
    </row>
    <row r="20" spans="7:8">
      <c r="G20">
        <v>19</v>
      </c>
      <c r="H20">
        <v>89</v>
      </c>
    </row>
    <row r="21" spans="7:8">
      <c r="G21">
        <v>20</v>
      </c>
      <c r="H21">
        <v>88.8</v>
      </c>
    </row>
    <row r="22" spans="7:8">
      <c r="G22">
        <v>21</v>
      </c>
      <c r="H22">
        <v>88.3</v>
      </c>
    </row>
    <row r="23" spans="7:8">
      <c r="G23">
        <v>22</v>
      </c>
      <c r="H23">
        <v>88</v>
      </c>
    </row>
    <row r="24" spans="7:8">
      <c r="G24">
        <v>23</v>
      </c>
      <c r="H24">
        <v>87.7</v>
      </c>
    </row>
    <row r="25" spans="7:8">
      <c r="G25">
        <v>24</v>
      </c>
      <c r="H25">
        <v>87.4</v>
      </c>
    </row>
    <row r="26" spans="7:8">
      <c r="G26">
        <v>25</v>
      </c>
      <c r="H26">
        <v>87.1</v>
      </c>
    </row>
    <row r="27" spans="7:8">
      <c r="G27">
        <v>26</v>
      </c>
      <c r="H27">
        <v>86.8</v>
      </c>
    </row>
    <row r="28" spans="7:8">
      <c r="G28">
        <v>27</v>
      </c>
      <c r="H28">
        <v>86.6</v>
      </c>
    </row>
    <row r="29" spans="7:8">
      <c r="G29">
        <v>28</v>
      </c>
      <c r="H29">
        <v>86.3</v>
      </c>
    </row>
    <row r="30" spans="7:8">
      <c r="G30">
        <v>29</v>
      </c>
      <c r="H30">
        <v>86.1</v>
      </c>
    </row>
    <row r="31" spans="7:8">
      <c r="G31">
        <v>30</v>
      </c>
      <c r="H31">
        <v>85.7</v>
      </c>
    </row>
    <row r="32" spans="7:8">
      <c r="G32">
        <v>40</v>
      </c>
      <c r="H32">
        <v>83.9</v>
      </c>
    </row>
  </sheetData>
  <mergeCells count="2">
    <mergeCell ref="A1:C1"/>
    <mergeCell ref="D4:D5"/>
  </mergeCells>
  <pageMargins left="0.7" right="0.7" top="0.75" bottom="0.75" header="0.3" footer="0.3"/>
  <ignoredErrors>
    <ignoredError sqref="B9:B10 B1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D8" sqref="D8"/>
    </sheetView>
  </sheetViews>
  <sheetFormatPr defaultRowHeight="15"/>
  <cols>
    <col min="1" max="1" width="31.140625" bestFit="1" customWidth="1"/>
    <col min="2" max="2" width="9.28515625" bestFit="1" customWidth="1"/>
    <col min="3" max="3" width="12.5703125" bestFit="1" customWidth="1"/>
  </cols>
  <sheetData>
    <row r="1" spans="1:5">
      <c r="A1" s="42" t="s">
        <v>87</v>
      </c>
      <c r="B1" s="42"/>
      <c r="C1" s="42"/>
      <c r="D1" s="42"/>
      <c r="E1" s="13"/>
    </row>
    <row r="2" spans="1:5">
      <c r="A2" s="1" t="s">
        <v>68</v>
      </c>
      <c r="B2" s="3"/>
      <c r="C2" s="1" t="s">
        <v>7</v>
      </c>
    </row>
    <row r="3" spans="1:5" ht="17.25">
      <c r="A3" s="1" t="s">
        <v>69</v>
      </c>
      <c r="B3" s="3"/>
      <c r="C3" s="14" t="s">
        <v>73</v>
      </c>
    </row>
    <row r="4" spans="1:5">
      <c r="A4" s="1" t="s">
        <v>82</v>
      </c>
      <c r="B4" s="3"/>
      <c r="C4" s="1" t="s">
        <v>63</v>
      </c>
    </row>
    <row r="5" spans="1:5" ht="17.25">
      <c r="A5" s="1" t="s">
        <v>70</v>
      </c>
      <c r="B5" s="3"/>
      <c r="C5" s="14" t="s">
        <v>73</v>
      </c>
    </row>
    <row r="6" spans="1:5" ht="17.25">
      <c r="A6" s="1" t="s">
        <v>71</v>
      </c>
      <c r="B6" s="2">
        <f>IF(B4=0,B5,LOOKUP(B4,'Czas rozgrzewania'!G2:G32,'Czas rozgrzewania'!H2:H32))-B3</f>
        <v>0</v>
      </c>
      <c r="C6" s="14" t="s">
        <v>73</v>
      </c>
    </row>
    <row r="7" spans="1:5">
      <c r="A7" s="1" t="s">
        <v>72</v>
      </c>
      <c r="B7" s="3"/>
      <c r="C7" s="14" t="s">
        <v>75</v>
      </c>
    </row>
    <row r="8" spans="1:5" ht="17.25">
      <c r="A8" s="1" t="s">
        <v>83</v>
      </c>
      <c r="B8" s="3">
        <v>7.2999999999999995E-2</v>
      </c>
      <c r="C8" s="14" t="s">
        <v>85</v>
      </c>
    </row>
    <row r="9" spans="1:5">
      <c r="A9" s="1" t="s">
        <v>88</v>
      </c>
      <c r="B9" s="2" t="e">
        <f>B8*B2*B6/B7</f>
        <v>#DIV/0!</v>
      </c>
      <c r="C9" s="14" t="s">
        <v>74</v>
      </c>
    </row>
  </sheetData>
  <mergeCells count="1">
    <mergeCell ref="A1:D1"/>
  </mergeCells>
  <pageMargins left="0.7" right="0.7" top="0.75" bottom="0.75" header="0.3" footer="0.3"/>
  <ignoredErrors>
    <ignoredError sqref="B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E12" sqref="E12"/>
    </sheetView>
  </sheetViews>
  <sheetFormatPr defaultRowHeight="15"/>
  <cols>
    <col min="1" max="1" width="36.42578125" bestFit="1" customWidth="1"/>
    <col min="2" max="2" width="5.7109375" customWidth="1"/>
    <col min="3" max="3" width="34.5703125" bestFit="1" customWidth="1"/>
    <col min="7" max="7" width="11" bestFit="1" customWidth="1"/>
    <col min="8" max="8" width="30.140625" bestFit="1" customWidth="1"/>
  </cols>
  <sheetData>
    <row r="1" spans="1:3">
      <c r="A1" s="41" t="s">
        <v>140</v>
      </c>
      <c r="B1" s="41"/>
      <c r="C1" s="41"/>
    </row>
    <row r="2" spans="1:3">
      <c r="A2" s="1" t="s">
        <v>31</v>
      </c>
      <c r="B2" s="3"/>
      <c r="C2" s="1" t="s">
        <v>6</v>
      </c>
    </row>
    <row r="3" spans="1:3">
      <c r="A3" s="1" t="s">
        <v>32</v>
      </c>
      <c r="B3" s="3"/>
      <c r="C3" s="1" t="s">
        <v>6</v>
      </c>
    </row>
    <row r="4" spans="1:3">
      <c r="A4" s="1" t="s">
        <v>34</v>
      </c>
      <c r="B4" s="3"/>
      <c r="C4" s="1" t="s">
        <v>6</v>
      </c>
    </row>
    <row r="5" spans="1:3">
      <c r="A5" s="1" t="s">
        <v>33</v>
      </c>
      <c r="B5" s="2">
        <f>B2-B3-B4</f>
        <v>0</v>
      </c>
      <c r="C5" s="1" t="s">
        <v>6</v>
      </c>
    </row>
    <row r="7" spans="1:3">
      <c r="A7" s="44" t="s">
        <v>28</v>
      </c>
      <c r="B7" s="44"/>
      <c r="C7" s="44"/>
    </row>
    <row r="8" spans="1:3">
      <c r="A8" s="7" t="s">
        <v>27</v>
      </c>
      <c r="B8" s="3"/>
      <c r="C8" s="7" t="s">
        <v>6</v>
      </c>
    </row>
    <row r="9" spans="1:3">
      <c r="A9" s="7" t="s">
        <v>29</v>
      </c>
      <c r="B9" s="3"/>
      <c r="C9" s="7" t="s">
        <v>6</v>
      </c>
    </row>
    <row r="10" spans="1:3">
      <c r="A10" s="7" t="s">
        <v>26</v>
      </c>
      <c r="B10" s="3"/>
      <c r="C10" s="7" t="s">
        <v>6</v>
      </c>
    </row>
    <row r="11" spans="1:3">
      <c r="A11" s="7" t="s">
        <v>89</v>
      </c>
      <c r="B11" s="8">
        <f>IF(B10=0,B8*10,(10-B9/B8)*B10)</f>
        <v>0</v>
      </c>
      <c r="C11" s="7" t="s">
        <v>30</v>
      </c>
    </row>
    <row r="12" spans="1:3" ht="15" customHeight="1">
      <c r="A12" s="12" t="s">
        <v>90</v>
      </c>
      <c r="B12" s="45" t="s">
        <v>95</v>
      </c>
      <c r="C12" s="45"/>
    </row>
    <row r="13" spans="1:3">
      <c r="A13" s="11"/>
      <c r="B13" s="45"/>
      <c r="C13" s="45"/>
    </row>
    <row r="14" spans="1:3">
      <c r="B14" s="45"/>
      <c r="C14" s="45"/>
    </row>
    <row r="15" spans="1:3">
      <c r="B15" s="45"/>
      <c r="C15" s="45"/>
    </row>
    <row r="16" spans="1:3">
      <c r="B16" s="45"/>
      <c r="C16" s="45"/>
    </row>
    <row r="17" spans="2:3">
      <c r="B17" s="45"/>
      <c r="C17" s="45"/>
    </row>
    <row r="18" spans="2:3">
      <c r="B18" s="45"/>
      <c r="C18" s="45"/>
    </row>
    <row r="19" spans="2:3">
      <c r="B19" s="45"/>
      <c r="C19" s="45"/>
    </row>
  </sheetData>
  <mergeCells count="3">
    <mergeCell ref="A7:C7"/>
    <mergeCell ref="A1:C1"/>
    <mergeCell ref="B12:C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6"/>
  <sheetViews>
    <sheetView zoomScale="90" zoomScaleNormal="90" workbookViewId="0">
      <selection activeCell="E15" sqref="E15"/>
    </sheetView>
  </sheetViews>
  <sheetFormatPr defaultRowHeight="15"/>
  <cols>
    <col min="1" max="1" width="29.140625" bestFit="1" customWidth="1"/>
    <col min="2" max="2" width="9.5703125" customWidth="1"/>
    <col min="3" max="3" width="30.7109375" bestFit="1" customWidth="1"/>
    <col min="4" max="4" width="6.28515625" customWidth="1"/>
    <col min="5" max="5" width="36.42578125" bestFit="1" customWidth="1"/>
    <col min="6" max="6" width="5.7109375" customWidth="1"/>
    <col min="7" max="7" width="34.5703125" bestFit="1" customWidth="1"/>
  </cols>
  <sheetData>
    <row r="1" spans="1:3">
      <c r="A1" s="41" t="s">
        <v>14</v>
      </c>
      <c r="B1" s="41"/>
      <c r="C1" s="41"/>
    </row>
    <row r="2" spans="1:3">
      <c r="A2" s="1" t="s">
        <v>0</v>
      </c>
      <c r="B2" s="3"/>
      <c r="C2" s="1" t="s">
        <v>5</v>
      </c>
    </row>
    <row r="3" spans="1:3">
      <c r="A3" s="1" t="s">
        <v>1</v>
      </c>
      <c r="B3" s="3"/>
      <c r="C3" s="1" t="s">
        <v>6</v>
      </c>
    </row>
    <row r="4" spans="1:3">
      <c r="A4" s="1" t="s">
        <v>10</v>
      </c>
      <c r="B4" s="2">
        <f>ROUNDUP(PI()*B2^2/4*B3/100000,2)</f>
        <v>0</v>
      </c>
      <c r="C4" s="1" t="s">
        <v>7</v>
      </c>
    </row>
    <row r="5" spans="1:3">
      <c r="A5" s="41" t="s">
        <v>15</v>
      </c>
      <c r="B5" s="41"/>
      <c r="C5" s="41"/>
    </row>
    <row r="6" spans="1:3">
      <c r="A6" s="1" t="s">
        <v>11</v>
      </c>
      <c r="B6" s="3"/>
      <c r="C6" s="1" t="s">
        <v>8</v>
      </c>
    </row>
    <row r="7" spans="1:3">
      <c r="A7" s="1" t="s">
        <v>2</v>
      </c>
      <c r="B7" s="2">
        <f>ROUNDUP(B4*B6,0)</f>
        <v>0</v>
      </c>
      <c r="C7" s="1" t="s">
        <v>12</v>
      </c>
    </row>
    <row r="8" spans="1:3">
      <c r="A8" s="1" t="s">
        <v>3</v>
      </c>
      <c r="B8" s="3"/>
      <c r="C8" s="1" t="s">
        <v>9</v>
      </c>
    </row>
    <row r="9" spans="1:3">
      <c r="A9" s="1" t="s">
        <v>4</v>
      </c>
      <c r="B9" s="2" t="e">
        <f>ROUNDUP(B7/B8,0)</f>
        <v>#DIV/0!</v>
      </c>
      <c r="C9" s="1" t="s">
        <v>13</v>
      </c>
    </row>
    <row r="10" spans="1:3">
      <c r="A10" s="4" t="s">
        <v>18</v>
      </c>
      <c r="B10" s="6"/>
      <c r="C10" s="4" t="s">
        <v>17</v>
      </c>
    </row>
    <row r="11" spans="1:3">
      <c r="A11" s="7" t="s">
        <v>16</v>
      </c>
      <c r="B11" s="2" t="e">
        <f>B9*B10</f>
        <v>#DIV/0!</v>
      </c>
      <c r="C11" s="7" t="s">
        <v>19</v>
      </c>
    </row>
    <row r="12" spans="1:3">
      <c r="A12" s="41" t="s">
        <v>20</v>
      </c>
      <c r="B12" s="41"/>
      <c r="C12" s="41"/>
    </row>
    <row r="13" spans="1:3">
      <c r="A13" s="7" t="s">
        <v>21</v>
      </c>
      <c r="B13" s="3"/>
      <c r="C13" s="1"/>
    </row>
    <row r="14" spans="1:3">
      <c r="A14" s="7" t="s">
        <v>25</v>
      </c>
      <c r="B14" s="2">
        <f>B4*B13</f>
        <v>0</v>
      </c>
      <c r="C14" s="7" t="s">
        <v>19</v>
      </c>
    </row>
    <row r="15" spans="1:3">
      <c r="A15" s="7" t="s">
        <v>24</v>
      </c>
      <c r="B15" s="5"/>
      <c r="C15" s="4" t="s">
        <v>35</v>
      </c>
    </row>
    <row r="16" spans="1:3">
      <c r="A16" s="7" t="s">
        <v>22</v>
      </c>
      <c r="B16" s="8">
        <f>PI()*(B2/10)^2/4*B15</f>
        <v>0</v>
      </c>
      <c r="C16" s="7" t="s">
        <v>23</v>
      </c>
    </row>
  </sheetData>
  <mergeCells count="3">
    <mergeCell ref="A1:C1"/>
    <mergeCell ref="A5:C5"/>
    <mergeCell ref="A12:C12"/>
  </mergeCells>
  <pageMargins left="0.7" right="0.7" top="0.75" bottom="0.75" header="0.3" footer="0.3"/>
  <ignoredErrors>
    <ignoredError sqref="B9 B11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N21"/>
  <sheetViews>
    <sheetView topLeftCell="A13" workbookViewId="0">
      <selection activeCell="M27" sqref="M27"/>
    </sheetView>
  </sheetViews>
  <sheetFormatPr defaultRowHeight="15"/>
  <cols>
    <col min="1" max="1" width="10.28515625" style="18" bestFit="1" customWidth="1"/>
    <col min="2" max="2" width="7.42578125" style="18" bestFit="1" customWidth="1"/>
    <col min="3" max="3" width="6.28515625" style="18" bestFit="1" customWidth="1"/>
    <col min="4" max="4" width="12.5703125" style="18" bestFit="1" customWidth="1"/>
    <col min="5" max="5" width="5.5703125" style="18" bestFit="1" customWidth="1"/>
    <col min="6" max="6" width="9.7109375" style="18" customWidth="1"/>
    <col min="7" max="7" width="4.42578125" style="18" bestFit="1" customWidth="1"/>
    <col min="8" max="8" width="7" style="18" bestFit="1" customWidth="1"/>
    <col min="9" max="9" width="14.85546875" style="18" bestFit="1" customWidth="1"/>
    <col min="10" max="10" width="12.140625" style="18" bestFit="1" customWidth="1"/>
    <col min="11" max="11" width="5.5703125" style="18" bestFit="1" customWidth="1"/>
    <col min="12" max="12" width="12.85546875" style="18" bestFit="1" customWidth="1"/>
    <col min="13" max="16384" width="9.140625" style="18"/>
  </cols>
  <sheetData>
    <row r="1" spans="1:14">
      <c r="B1" s="19" t="s">
        <v>116</v>
      </c>
      <c r="C1" s="19" t="s">
        <v>63</v>
      </c>
      <c r="D1" s="19" t="s">
        <v>117</v>
      </c>
      <c r="E1" s="20">
        <v>0.96</v>
      </c>
      <c r="F1" s="49" t="s">
        <v>139</v>
      </c>
      <c r="G1" s="46"/>
      <c r="H1" s="46"/>
      <c r="I1" s="46"/>
      <c r="J1" s="46"/>
      <c r="K1" s="46"/>
      <c r="L1" s="46"/>
      <c r="M1" s="46"/>
      <c r="N1" s="46"/>
    </row>
    <row r="2" spans="1:14" ht="15" customHeight="1">
      <c r="A2" s="56" t="s">
        <v>119</v>
      </c>
      <c r="B2" s="21"/>
      <c r="C2" s="21"/>
      <c r="D2" s="22">
        <f>B2*C2%</f>
        <v>0</v>
      </c>
      <c r="E2" s="22">
        <f>D2/96%</f>
        <v>0</v>
      </c>
      <c r="F2" s="52" t="s">
        <v>138</v>
      </c>
      <c r="G2" s="24"/>
      <c r="H2" s="47" t="s">
        <v>137</v>
      </c>
      <c r="I2" s="51"/>
      <c r="J2" s="51"/>
      <c r="K2" s="48"/>
      <c r="L2" s="23"/>
    </row>
    <row r="3" spans="1:14">
      <c r="A3" s="56"/>
      <c r="B3" s="21"/>
      <c r="C3" s="21"/>
      <c r="D3" s="22">
        <f t="shared" ref="D3:D11" si="0">B3*C3%</f>
        <v>0</v>
      </c>
      <c r="E3" s="22">
        <f t="shared" ref="E3:E12" si="1">D3/96%</f>
        <v>0</v>
      </c>
      <c r="F3" s="52"/>
      <c r="H3" s="50" t="s">
        <v>135</v>
      </c>
      <c r="I3" s="50"/>
      <c r="J3" s="50"/>
      <c r="L3" s="38" t="s">
        <v>136</v>
      </c>
      <c r="M3" s="37"/>
      <c r="N3"/>
    </row>
    <row r="4" spans="1:14">
      <c r="A4" s="56"/>
      <c r="B4" s="21"/>
      <c r="C4" s="21"/>
      <c r="D4" s="22">
        <f t="shared" si="0"/>
        <v>0</v>
      </c>
      <c r="E4" s="22">
        <f t="shared" si="1"/>
        <v>0</v>
      </c>
      <c r="F4" s="19" t="s">
        <v>118</v>
      </c>
      <c r="H4" s="19" t="s">
        <v>120</v>
      </c>
      <c r="I4" s="19" t="s">
        <v>121</v>
      </c>
      <c r="J4" s="19" t="s">
        <v>122</v>
      </c>
      <c r="L4" s="25" t="s">
        <v>63</v>
      </c>
    </row>
    <row r="5" spans="1:14">
      <c r="A5" s="56"/>
      <c r="B5" s="21"/>
      <c r="C5" s="21"/>
      <c r="D5" s="22">
        <f t="shared" si="0"/>
        <v>0</v>
      </c>
      <c r="E5" s="22">
        <f t="shared" si="1"/>
        <v>0</v>
      </c>
      <c r="F5" s="21"/>
      <c r="H5" s="22">
        <f>IF(J5&lt;0,(2.66*I5)/(266-I5)*1000/17,((2.66*I5)/(266-I5)*1000-(2.66*J5)/(266-J5)*1000)/17)</f>
        <v>0</v>
      </c>
      <c r="I5" s="27"/>
      <c r="J5" s="27"/>
      <c r="L5" s="21"/>
    </row>
    <row r="6" spans="1:14">
      <c r="A6" s="56"/>
      <c r="B6" s="21"/>
      <c r="C6" s="21"/>
      <c r="D6" s="22">
        <f t="shared" si="0"/>
        <v>0</v>
      </c>
      <c r="E6" s="22">
        <f t="shared" si="1"/>
        <v>0</v>
      </c>
      <c r="F6" s="46" t="s">
        <v>123</v>
      </c>
      <c r="G6" s="46"/>
      <c r="H6" s="46"/>
      <c r="I6" s="57" t="s">
        <v>124</v>
      </c>
      <c r="J6" s="57"/>
    </row>
    <row r="7" spans="1:14">
      <c r="A7" s="56"/>
      <c r="B7" s="21"/>
      <c r="C7" s="21"/>
      <c r="D7" s="22">
        <f t="shared" si="0"/>
        <v>0</v>
      </c>
      <c r="E7" s="22">
        <f t="shared" si="1"/>
        <v>0</v>
      </c>
      <c r="F7" s="28" t="e">
        <f>D12/F5</f>
        <v>#DIV/0!</v>
      </c>
      <c r="G7" s="19" t="s">
        <v>125</v>
      </c>
      <c r="H7" s="20">
        <v>1</v>
      </c>
      <c r="I7" s="46" t="s">
        <v>126</v>
      </c>
      <c r="J7" s="46"/>
    </row>
    <row r="8" spans="1:14">
      <c r="A8" s="56"/>
      <c r="B8" s="21"/>
      <c r="C8" s="21"/>
      <c r="D8" s="22">
        <f t="shared" si="0"/>
        <v>0</v>
      </c>
      <c r="E8" s="22">
        <f t="shared" si="1"/>
        <v>0</v>
      </c>
      <c r="F8" s="28" t="e">
        <f>E12/F5</f>
        <v>#DIV/0!</v>
      </c>
      <c r="G8" s="19" t="s">
        <v>125</v>
      </c>
      <c r="H8" s="20">
        <v>0.96</v>
      </c>
      <c r="I8" s="29" t="e">
        <f>D12/(L2*IF(H5=0,L5%,H5%)%)</f>
        <v>#DIV/0!</v>
      </c>
      <c r="J8" s="30" t="s">
        <v>63</v>
      </c>
      <c r="K8" s="24"/>
    </row>
    <row r="9" spans="1:14">
      <c r="A9" s="56"/>
      <c r="B9" s="21"/>
      <c r="C9" s="21"/>
      <c r="D9" s="22">
        <f t="shared" si="0"/>
        <v>0</v>
      </c>
      <c r="E9" s="22">
        <f t="shared" si="1"/>
        <v>0</v>
      </c>
      <c r="F9" s="59" t="s">
        <v>127</v>
      </c>
      <c r="G9" s="60"/>
      <c r="H9" s="61"/>
      <c r="I9" s="28" t="e">
        <f>IF(I8&lt;70,"Niski",IF(I8&lt;80,"Średni",IF(I8&lt;85,"Dobry",IF(I8&lt;92,"Bardzo Dobry",IF(I8&lt;100,"Wyśmienity","Herezja")))))</f>
        <v>#DIV/0!</v>
      </c>
      <c r="J9" s="24"/>
    </row>
    <row r="10" spans="1:14">
      <c r="A10" s="56"/>
      <c r="B10" s="21"/>
      <c r="C10" s="21"/>
      <c r="D10" s="22">
        <f t="shared" si="0"/>
        <v>0</v>
      </c>
      <c r="E10" s="22">
        <f t="shared" si="1"/>
        <v>0</v>
      </c>
      <c r="F10" s="28" t="e">
        <f>IF(F8&lt;0.44,"Niski",IF(F8&lt;0.49,"Średni",IF(F8&lt;0.52,"Dobry",IF(F8&lt;0.54,"Bardzo Dobry",IF(F8&lt;0.6,"Wyśmienity","Herezja")))))</f>
        <v>#DIV/0!</v>
      </c>
    </row>
    <row r="11" spans="1:14">
      <c r="A11" s="56"/>
      <c r="B11" s="21"/>
      <c r="C11" s="21"/>
      <c r="D11" s="22">
        <f t="shared" si="0"/>
        <v>0</v>
      </c>
      <c r="E11" s="22">
        <f t="shared" si="1"/>
        <v>0</v>
      </c>
    </row>
    <row r="12" spans="1:14">
      <c r="B12" s="31"/>
      <c r="C12" s="19" t="s">
        <v>128</v>
      </c>
      <c r="D12" s="22">
        <f>SUM(D2:D11)</f>
        <v>0</v>
      </c>
      <c r="E12" s="22">
        <f t="shared" si="1"/>
        <v>0</v>
      </c>
    </row>
    <row r="14" spans="1:14">
      <c r="B14" s="58" t="s">
        <v>129</v>
      </c>
      <c r="C14" s="58"/>
      <c r="D14" s="58"/>
      <c r="E14" s="58"/>
      <c r="F14" s="24"/>
      <c r="G14" s="24"/>
      <c r="H14" s="24"/>
    </row>
    <row r="15" spans="1:14">
      <c r="B15" s="25" t="s">
        <v>116</v>
      </c>
      <c r="C15" s="25" t="s">
        <v>63</v>
      </c>
      <c r="D15" s="25" t="s">
        <v>117</v>
      </c>
      <c r="E15" s="32">
        <v>0.96</v>
      </c>
      <c r="F15" s="24"/>
      <c r="G15" s="24"/>
    </row>
    <row r="16" spans="1:14">
      <c r="A16" s="33" t="s">
        <v>130</v>
      </c>
      <c r="B16" s="21"/>
      <c r="C16" s="27"/>
      <c r="D16" s="22">
        <f>B16*IF(C16&lt;97,C16%,1)</f>
        <v>0</v>
      </c>
      <c r="E16" s="34">
        <f>D16/96%</f>
        <v>0</v>
      </c>
      <c r="F16" s="53" t="s">
        <v>131</v>
      </c>
      <c r="G16" s="54"/>
      <c r="H16" s="54"/>
      <c r="I16" s="54"/>
      <c r="J16" s="54"/>
      <c r="K16" s="55"/>
    </row>
    <row r="17" spans="1:10">
      <c r="A17" s="35" t="s">
        <v>132</v>
      </c>
      <c r="B17" s="21"/>
      <c r="C17" s="21"/>
      <c r="D17" s="22">
        <f t="shared" ref="D17" si="2">B17*C17%</f>
        <v>0</v>
      </c>
      <c r="E17" s="22">
        <f>D17/96%</f>
        <v>0</v>
      </c>
      <c r="F17" s="46" t="s">
        <v>133</v>
      </c>
      <c r="G17" s="46"/>
      <c r="H17" s="46"/>
      <c r="I17" s="47" t="s">
        <v>134</v>
      </c>
      <c r="J17" s="48"/>
    </row>
    <row r="18" spans="1:10">
      <c r="C18" s="26" t="s">
        <v>128</v>
      </c>
      <c r="D18" s="22">
        <f>SUM(D16:D17)</f>
        <v>0</v>
      </c>
      <c r="E18" s="22">
        <f>D18/96%</f>
        <v>0</v>
      </c>
      <c r="F18" s="28" t="e">
        <f>(D12+D18)/F5</f>
        <v>#DIV/0!</v>
      </c>
      <c r="G18" s="19" t="s">
        <v>125</v>
      </c>
      <c r="H18" s="20">
        <v>1</v>
      </c>
      <c r="I18" s="29" t="e">
        <f>(D12+D18)/(L2*IF(H5=0,L5%,H5%))%</f>
        <v>#DIV/0!</v>
      </c>
      <c r="J18" s="36" t="s">
        <v>63</v>
      </c>
    </row>
    <row r="19" spans="1:10">
      <c r="F19" s="28" t="e">
        <f>(E12+E18)/F5</f>
        <v>#DIV/0!</v>
      </c>
      <c r="G19" s="19" t="s">
        <v>125</v>
      </c>
      <c r="H19" s="20">
        <v>0.96</v>
      </c>
      <c r="I19" s="28" t="e">
        <f>IF(I18&lt;80,"Niski",IF(I18&lt;85,"Średni",IF(I18&lt;90,"Dobry",IF(I18&lt;95,"Bardzo Dobry",IF(I18&lt;100,"Wyśmienity","Herezja")))))</f>
        <v>#DIV/0!</v>
      </c>
    </row>
    <row r="20" spans="1:10">
      <c r="F20" s="19" t="s">
        <v>127</v>
      </c>
    </row>
    <row r="21" spans="1:10">
      <c r="F21" s="28" t="e">
        <f>IF(F19&lt;0.46,"Niski",IF(F19&lt;0.51,"Średni",IF(F19&lt;0.54,"Dobry",IF(F19&lt;0.56,"Bardzo Dobry",IF(F19&lt;0.62,"Wyśmienity","Herezja")))))</f>
        <v>#DIV/0!</v>
      </c>
    </row>
  </sheetData>
  <mergeCells count="13">
    <mergeCell ref="A2:A11"/>
    <mergeCell ref="F6:H6"/>
    <mergeCell ref="I6:J6"/>
    <mergeCell ref="I7:J7"/>
    <mergeCell ref="B14:E14"/>
    <mergeCell ref="F9:H9"/>
    <mergeCell ref="F17:H17"/>
    <mergeCell ref="I17:J17"/>
    <mergeCell ref="F1:N1"/>
    <mergeCell ref="H3:J3"/>
    <mergeCell ref="H2:K2"/>
    <mergeCell ref="F2:F3"/>
    <mergeCell ref="F16:K1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3"/>
  <sheetViews>
    <sheetView topLeftCell="A11" zoomScale="90" zoomScaleNormal="90" workbookViewId="0">
      <selection activeCell="A27" sqref="A27"/>
    </sheetView>
  </sheetViews>
  <sheetFormatPr defaultRowHeight="15"/>
  <cols>
    <col min="1" max="1" width="16.7109375" bestFit="1" customWidth="1"/>
    <col min="2" max="2" width="24.7109375" bestFit="1" customWidth="1"/>
    <col min="3" max="3" width="18" customWidth="1"/>
    <col min="10" max="11" width="0" hidden="1" customWidth="1"/>
  </cols>
  <sheetData>
    <row r="1" spans="1:13">
      <c r="A1" s="62"/>
      <c r="B1" s="63"/>
      <c r="C1" s="1" t="s">
        <v>56</v>
      </c>
      <c r="D1" s="1" t="s">
        <v>36</v>
      </c>
      <c r="E1" s="1"/>
    </row>
    <row r="2" spans="1:13">
      <c r="A2" s="65" t="s">
        <v>37</v>
      </c>
      <c r="B2" s="1"/>
      <c r="C2" s="3"/>
      <c r="D2" s="3"/>
      <c r="E2" s="2">
        <f>C2*D2</f>
        <v>0</v>
      </c>
      <c r="J2" t="s">
        <v>52</v>
      </c>
      <c r="K2" t="s">
        <v>50</v>
      </c>
    </row>
    <row r="3" spans="1:13">
      <c r="A3" s="65"/>
      <c r="B3" s="1"/>
      <c r="C3" s="3"/>
      <c r="D3" s="3"/>
      <c r="E3" s="2">
        <f t="shared" ref="E3:E9" si="0">C3*D3</f>
        <v>0</v>
      </c>
      <c r="J3" t="s">
        <v>53</v>
      </c>
      <c r="K3" t="s">
        <v>44</v>
      </c>
    </row>
    <row r="4" spans="1:13">
      <c r="A4" s="65"/>
      <c r="B4" s="1"/>
      <c r="C4" s="3"/>
      <c r="D4" s="3"/>
      <c r="E4" s="2">
        <f t="shared" si="0"/>
        <v>0</v>
      </c>
      <c r="J4" t="s">
        <v>54</v>
      </c>
      <c r="K4" t="s">
        <v>46</v>
      </c>
    </row>
    <row r="5" spans="1:13">
      <c r="A5" s="41" t="s">
        <v>38</v>
      </c>
      <c r="B5" s="41"/>
      <c r="C5" s="3"/>
      <c r="D5" s="3"/>
      <c r="E5" s="2">
        <f t="shared" si="0"/>
        <v>0</v>
      </c>
      <c r="J5" t="s">
        <v>55</v>
      </c>
      <c r="K5" t="s">
        <v>47</v>
      </c>
    </row>
    <row r="6" spans="1:13">
      <c r="A6" s="41" t="s">
        <v>41</v>
      </c>
      <c r="B6" s="41"/>
      <c r="C6" s="3"/>
      <c r="D6" s="3"/>
      <c r="E6" s="2">
        <f t="shared" si="0"/>
        <v>0</v>
      </c>
      <c r="J6" t="s">
        <v>48</v>
      </c>
      <c r="K6" t="s">
        <v>51</v>
      </c>
    </row>
    <row r="7" spans="1:13">
      <c r="A7" s="41" t="s">
        <v>39</v>
      </c>
      <c r="B7" s="41"/>
      <c r="C7" s="3"/>
      <c r="D7" s="3"/>
      <c r="E7" s="2">
        <f t="shared" si="0"/>
        <v>0</v>
      </c>
      <c r="K7" t="s">
        <v>49</v>
      </c>
    </row>
    <row r="8" spans="1:13">
      <c r="A8" s="41" t="s">
        <v>40</v>
      </c>
      <c r="B8" s="41"/>
      <c r="C8" s="3"/>
      <c r="D8" s="3"/>
      <c r="E8" s="2">
        <f t="shared" si="0"/>
        <v>0</v>
      </c>
      <c r="K8" t="s">
        <v>45</v>
      </c>
    </row>
    <row r="9" spans="1:13">
      <c r="A9" s="41" t="s">
        <v>42</v>
      </c>
      <c r="B9" s="41"/>
      <c r="C9" s="3"/>
      <c r="D9" s="3"/>
      <c r="E9" s="2">
        <f t="shared" si="0"/>
        <v>0</v>
      </c>
      <c r="F9" s="41" t="s">
        <v>94</v>
      </c>
      <c r="G9" s="41"/>
      <c r="H9" s="41"/>
      <c r="I9" s="41"/>
      <c r="K9" t="s">
        <v>48</v>
      </c>
    </row>
    <row r="10" spans="1:13">
      <c r="A10" s="1" t="s">
        <v>91</v>
      </c>
      <c r="B10" s="1"/>
      <c r="C10" s="3"/>
      <c r="D10" s="3"/>
      <c r="E10" s="2">
        <f>IF((G10/60*L10)=0,C10*D10,C10*G10/60*L10)</f>
        <v>0</v>
      </c>
      <c r="F10" s="1" t="s">
        <v>57</v>
      </c>
      <c r="G10" s="3"/>
      <c r="H10" s="1" t="s">
        <v>75</v>
      </c>
      <c r="I10" s="1" t="s">
        <v>92</v>
      </c>
      <c r="L10" s="3"/>
      <c r="M10" s="1" t="s">
        <v>74</v>
      </c>
    </row>
    <row r="11" spans="1:13">
      <c r="A11" t="s">
        <v>60</v>
      </c>
      <c r="B11" s="1"/>
      <c r="C11" s="3"/>
      <c r="D11" s="3"/>
      <c r="E11" s="2">
        <f>IF((G11/60*L11)=0,C11*D11,C11*G11/60*L11)</f>
        <v>0</v>
      </c>
      <c r="F11" s="1" t="s">
        <v>57</v>
      </c>
      <c r="G11" s="3"/>
      <c r="H11" s="1" t="s">
        <v>75</v>
      </c>
      <c r="I11" s="1" t="s">
        <v>92</v>
      </c>
      <c r="L11" s="3"/>
      <c r="M11" s="1" t="s">
        <v>93</v>
      </c>
    </row>
    <row r="12" spans="1:13">
      <c r="A12" s="41" t="s">
        <v>43</v>
      </c>
      <c r="B12" s="41"/>
      <c r="C12" s="3"/>
      <c r="D12" s="3"/>
      <c r="E12" s="2">
        <f t="shared" ref="E12:E17" si="1">C12*D12</f>
        <v>0</v>
      </c>
    </row>
    <row r="13" spans="1:13">
      <c r="A13" s="66" t="s">
        <v>57</v>
      </c>
      <c r="B13" s="1" t="s">
        <v>58</v>
      </c>
      <c r="C13" s="3"/>
      <c r="D13" s="3"/>
      <c r="E13" s="2">
        <f t="shared" si="1"/>
        <v>0</v>
      </c>
    </row>
    <row r="14" spans="1:13">
      <c r="A14" s="66"/>
      <c r="B14" s="1" t="s">
        <v>59</v>
      </c>
      <c r="C14" s="3"/>
      <c r="D14" s="3"/>
      <c r="E14" s="2">
        <f t="shared" si="1"/>
        <v>0</v>
      </c>
    </row>
    <row r="15" spans="1:13">
      <c r="A15" s="66"/>
      <c r="B15" s="1" t="s">
        <v>60</v>
      </c>
      <c r="C15" s="3"/>
      <c r="D15" s="3"/>
      <c r="E15" s="2">
        <f t="shared" si="1"/>
        <v>0</v>
      </c>
    </row>
    <row r="16" spans="1:13">
      <c r="A16" s="66"/>
      <c r="B16" s="1" t="s">
        <v>48</v>
      </c>
      <c r="C16" s="3"/>
      <c r="D16" s="3"/>
      <c r="E16" s="2">
        <f t="shared" si="1"/>
        <v>0</v>
      </c>
    </row>
    <row r="17" spans="1:5">
      <c r="A17" s="41" t="s">
        <v>48</v>
      </c>
      <c r="B17" s="41"/>
      <c r="C17" s="3"/>
      <c r="D17" s="3"/>
      <c r="E17" s="2">
        <f t="shared" si="1"/>
        <v>0</v>
      </c>
    </row>
    <row r="18" spans="1:5">
      <c r="A18" s="62"/>
      <c r="B18" s="64"/>
      <c r="C18" s="63"/>
      <c r="D18" s="1" t="s">
        <v>61</v>
      </c>
      <c r="E18" s="2">
        <f>SUM(E2:E11)</f>
        <v>0</v>
      </c>
    </row>
    <row r="19" spans="1:5">
      <c r="A19" s="43" t="s">
        <v>62</v>
      </c>
      <c r="B19" s="1" t="s">
        <v>36</v>
      </c>
      <c r="C19" s="1" t="s">
        <v>63</v>
      </c>
      <c r="D19" s="41" t="s">
        <v>64</v>
      </c>
      <c r="E19" s="41"/>
    </row>
    <row r="20" spans="1:5">
      <c r="A20" s="43"/>
      <c r="B20" s="3"/>
      <c r="C20" s="3"/>
      <c r="D20" s="67">
        <f>B20*C20%</f>
        <v>0</v>
      </c>
      <c r="E20" s="67"/>
    </row>
    <row r="21" spans="1:5">
      <c r="A21" s="41" t="s">
        <v>65</v>
      </c>
      <c r="B21" s="41"/>
      <c r="C21" s="3"/>
      <c r="D21" s="1" t="s">
        <v>36</v>
      </c>
      <c r="E21" s="2" t="e">
        <f>D20/C21%</f>
        <v>#DIV/0!</v>
      </c>
    </row>
    <row r="22" spans="1:5">
      <c r="A22" s="41" t="s">
        <v>66</v>
      </c>
      <c r="B22" s="41"/>
      <c r="C22" s="41"/>
      <c r="D22" s="9" t="e">
        <f>E18/D20</f>
        <v>#DIV/0!</v>
      </c>
      <c r="E22" s="1" t="s">
        <v>19</v>
      </c>
    </row>
    <row r="23" spans="1:5">
      <c r="A23" s="41" t="s">
        <v>67</v>
      </c>
      <c r="B23" s="41"/>
      <c r="C23" s="41"/>
      <c r="D23" s="9" t="e">
        <f>E18/E21</f>
        <v>#DIV/0!</v>
      </c>
      <c r="E23" s="1" t="s">
        <v>19</v>
      </c>
    </row>
  </sheetData>
  <mergeCells count="18">
    <mergeCell ref="F9:I9"/>
    <mergeCell ref="A21:B21"/>
    <mergeCell ref="A23:C23"/>
    <mergeCell ref="A22:C22"/>
    <mergeCell ref="A19:A20"/>
    <mergeCell ref="D19:E19"/>
    <mergeCell ref="D20:E20"/>
    <mergeCell ref="A1:B1"/>
    <mergeCell ref="A18:C18"/>
    <mergeCell ref="A2:A4"/>
    <mergeCell ref="A13:A16"/>
    <mergeCell ref="A17:B17"/>
    <mergeCell ref="A5:B5"/>
    <mergeCell ref="A6:B6"/>
    <mergeCell ref="A7:B7"/>
    <mergeCell ref="A8:B8"/>
    <mergeCell ref="A9:B9"/>
    <mergeCell ref="A12:B12"/>
  </mergeCells>
  <dataValidations count="2">
    <dataValidation type="list" allowBlank="1" showInputMessage="1" showErrorMessage="1" sqref="B10:B11">
      <formula1>$J$2:$J$6</formula1>
    </dataValidation>
    <dataValidation type="list" allowBlank="1" showInputMessage="1" showErrorMessage="1" sqref="B2:B4">
      <formula1>$K$2:$K$9</formula1>
    </dataValidation>
  </dataValidations>
  <pageMargins left="0.7" right="0.7" top="0.75" bottom="0.75" header="0.3" footer="0.3"/>
  <ignoredErrors>
    <ignoredError sqref="E21 D22:D2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B1:F12"/>
  <sheetViews>
    <sheetView tabSelected="1" zoomScale="130" zoomScaleNormal="130" workbookViewId="0">
      <selection activeCell="C6" sqref="C6"/>
    </sheetView>
  </sheetViews>
  <sheetFormatPr defaultRowHeight="15"/>
  <cols>
    <col min="1" max="1" width="27" customWidth="1"/>
    <col min="2" max="2" width="14.28515625" style="70" customWidth="1"/>
    <col min="4" max="4" width="5.28515625" customWidth="1"/>
    <col min="5" max="5" width="13.140625" customWidth="1"/>
    <col min="6" max="6" width="11" customWidth="1"/>
    <col min="7" max="7" width="17.28515625" customWidth="1"/>
    <col min="8" max="8" width="9" bestFit="1" customWidth="1"/>
    <col min="12" max="12" width="15.28515625" customWidth="1"/>
  </cols>
  <sheetData>
    <row r="1" spans="2:6" ht="28.5" customHeight="1"/>
    <row r="2" spans="2:6">
      <c r="B2" s="71" t="s">
        <v>144</v>
      </c>
      <c r="C2" s="72">
        <v>50</v>
      </c>
      <c r="D2" s="1" t="s">
        <v>5</v>
      </c>
    </row>
    <row r="3" spans="2:6">
      <c r="B3" s="71" t="s">
        <v>145</v>
      </c>
      <c r="C3" s="72">
        <v>53</v>
      </c>
      <c r="D3" s="1" t="s">
        <v>5</v>
      </c>
      <c r="E3" s="68" t="str">
        <f>IF(C3&gt;C2," ","увеличить D2")</f>
        <v xml:space="preserve"> </v>
      </c>
      <c r="F3" s="68"/>
    </row>
    <row r="4" spans="2:6">
      <c r="B4" s="71" t="s">
        <v>146</v>
      </c>
      <c r="C4" s="72">
        <v>100</v>
      </c>
      <c r="D4" s="1" t="s">
        <v>5</v>
      </c>
    </row>
    <row r="5" spans="2:6">
      <c r="B5" s="71" t="s">
        <v>147</v>
      </c>
      <c r="C5" s="72">
        <v>300</v>
      </c>
      <c r="D5" s="1" t="s">
        <v>5</v>
      </c>
    </row>
    <row r="6" spans="2:6">
      <c r="B6" s="71" t="s">
        <v>149</v>
      </c>
      <c r="C6" s="72">
        <v>50</v>
      </c>
      <c r="D6" s="1" t="s">
        <v>148</v>
      </c>
      <c r="E6" s="69"/>
    </row>
    <row r="7" spans="2:6">
      <c r="E7" s="69"/>
    </row>
    <row r="8" spans="2:6">
      <c r="B8" s="70" t="s">
        <v>150</v>
      </c>
      <c r="C8">
        <f>C5/100*(((PI()*(C4/100)^2/4)-(PI()*(C3/100)^2/4)))</f>
        <v>1.694339457897315</v>
      </c>
      <c r="D8" t="s">
        <v>148</v>
      </c>
      <c r="E8" s="68" t="str">
        <f>IF(C6/C8&gt;C11," ","уменьшить объём буфера")</f>
        <v xml:space="preserve"> </v>
      </c>
      <c r="F8" s="68"/>
    </row>
    <row r="9" spans="2:6">
      <c r="E9" s="68" t="str">
        <f>IF(C6/C8&lt;C12," ","увеличить объём буфера")</f>
        <v xml:space="preserve"> </v>
      </c>
      <c r="F9" s="68"/>
    </row>
    <row r="10" spans="2:6">
      <c r="B10" s="70" t="s">
        <v>151</v>
      </c>
      <c r="C10">
        <f>C6/C8</f>
        <v>29.510025141036547</v>
      </c>
      <c r="E10" t="s">
        <v>154</v>
      </c>
    </row>
    <row r="11" spans="2:6">
      <c r="B11" s="70" t="s">
        <v>152</v>
      </c>
      <c r="C11">
        <v>22</v>
      </c>
    </row>
    <row r="12" spans="2:6">
      <c r="B12" s="70" t="s">
        <v>153</v>
      </c>
      <c r="C12">
        <v>33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G8" sqref="G8"/>
    </sheetView>
  </sheetViews>
  <sheetFormatPr defaultRowHeight="15"/>
  <cols>
    <col min="1" max="1" width="16.28515625" bestFit="1" customWidth="1"/>
    <col min="2" max="2" width="11.42578125" customWidth="1"/>
  </cols>
  <sheetData>
    <row r="1" spans="1:7">
      <c r="A1" s="41" t="s">
        <v>96</v>
      </c>
      <c r="B1" s="41"/>
      <c r="C1" s="3"/>
      <c r="D1" s="1" t="s">
        <v>5</v>
      </c>
    </row>
    <row r="2" spans="1:7">
      <c r="A2" s="41" t="s">
        <v>105</v>
      </c>
      <c r="B2" s="41"/>
      <c r="C2" s="3"/>
      <c r="D2" s="1" t="s">
        <v>5</v>
      </c>
    </row>
    <row r="3" spans="1:7">
      <c r="A3" s="41" t="s">
        <v>102</v>
      </c>
      <c r="B3" s="41"/>
      <c r="C3" s="15">
        <f>C1-C2*2</f>
        <v>0</v>
      </c>
      <c r="D3" s="1" t="s">
        <v>5</v>
      </c>
      <c r="E3" s="67" t="s">
        <v>108</v>
      </c>
      <c r="F3" s="67"/>
      <c r="G3" s="67"/>
    </row>
    <row r="4" spans="1:7">
      <c r="A4" s="43" t="s">
        <v>104</v>
      </c>
      <c r="B4" s="1" t="s">
        <v>97</v>
      </c>
      <c r="C4" s="3"/>
      <c r="D4" s="1" t="s">
        <v>5</v>
      </c>
    </row>
    <row r="5" spans="1:7">
      <c r="A5" s="43"/>
      <c r="B5" s="1" t="s">
        <v>98</v>
      </c>
      <c r="C5" s="3"/>
      <c r="D5" s="1" t="s">
        <v>5</v>
      </c>
    </row>
    <row r="6" spans="1:7">
      <c r="A6" s="43" t="s">
        <v>103</v>
      </c>
      <c r="B6" s="1" t="s">
        <v>97</v>
      </c>
      <c r="C6" s="3"/>
      <c r="D6" s="1" t="s">
        <v>5</v>
      </c>
    </row>
    <row r="7" spans="1:7">
      <c r="A7" s="43"/>
      <c r="B7" s="1" t="s">
        <v>98</v>
      </c>
      <c r="C7" s="3"/>
      <c r="D7" s="1" t="s">
        <v>5</v>
      </c>
    </row>
    <row r="8" spans="1:7">
      <c r="A8" s="43"/>
      <c r="B8" s="1" t="s">
        <v>99</v>
      </c>
      <c r="C8" s="3"/>
      <c r="D8" s="1" t="s">
        <v>6</v>
      </c>
    </row>
    <row r="9" spans="1:7">
      <c r="A9" s="41" t="s">
        <v>100</v>
      </c>
      <c r="B9" s="41"/>
      <c r="C9" s="3"/>
      <c r="D9" s="1" t="s">
        <v>5</v>
      </c>
    </row>
    <row r="10" spans="1:7">
      <c r="A10" s="41" t="s">
        <v>106</v>
      </c>
      <c r="B10" s="41"/>
      <c r="C10" s="2">
        <f>C9/10*(((PI()*(C6/10)^2/4)-(PI()*(C5/10)^2/4)))</f>
        <v>0</v>
      </c>
      <c r="D10" s="1" t="s">
        <v>107</v>
      </c>
    </row>
    <row r="11" spans="1:7">
      <c r="A11" s="41" t="s">
        <v>110</v>
      </c>
      <c r="B11" s="41"/>
      <c r="C11" s="2">
        <f>PI()*((C4/10)^2+(C3/10)^2-(C7/10)^2)/4</f>
        <v>0</v>
      </c>
      <c r="D11" s="1" t="s">
        <v>101</v>
      </c>
    </row>
    <row r="12" spans="1:7">
      <c r="A12" s="43" t="s">
        <v>109</v>
      </c>
      <c r="B12" s="43"/>
      <c r="C12" s="43"/>
      <c r="D12" s="43"/>
    </row>
    <row r="13" spans="1:7" ht="15" customHeight="1">
      <c r="A13" s="43" t="s">
        <v>111</v>
      </c>
      <c r="B13" s="43"/>
      <c r="C13" s="16"/>
      <c r="D13" s="1" t="s">
        <v>114</v>
      </c>
      <c r="E13" s="17" t="s">
        <v>112</v>
      </c>
      <c r="F13" s="17" t="s">
        <v>113</v>
      </c>
    </row>
    <row r="14" spans="1:7">
      <c r="A14" s="41" t="s">
        <v>115</v>
      </c>
      <c r="B14" s="41"/>
      <c r="C14" s="2">
        <f>C11*C13/1000</f>
        <v>0</v>
      </c>
      <c r="D14" s="1" t="s">
        <v>74</v>
      </c>
    </row>
  </sheetData>
  <mergeCells count="12">
    <mergeCell ref="A14:B14"/>
    <mergeCell ref="A4:A5"/>
    <mergeCell ref="E3:G3"/>
    <mergeCell ref="A1:B1"/>
    <mergeCell ref="A2:B2"/>
    <mergeCell ref="A12:D12"/>
    <mergeCell ref="A13:B13"/>
    <mergeCell ref="A11:B11"/>
    <mergeCell ref="A10:B10"/>
    <mergeCell ref="A3:B3"/>
    <mergeCell ref="A6:A8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Czas rozgrzewania</vt:lpstr>
      <vt:lpstr>Efektywność grzania gazowego</vt:lpstr>
      <vt:lpstr>Wysokość i 10 półka</vt:lpstr>
      <vt:lpstr>Wypełnienie</vt:lpstr>
      <vt:lpstr>Czy to dobry wynik</vt:lpstr>
      <vt:lpstr>Koszty wytworzenia</vt:lpstr>
      <vt:lpstr>Bufor</vt:lpstr>
      <vt:lpstr>Półka OLM z rury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2016-03-15T07:04:02Z</dcterms:modified>
</cp:coreProperties>
</file>