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ЭтаКнига" defaultThemeVersion="124226"/>
  <bookViews>
    <workbookView xWindow="240" yWindow="345" windowWidth="14805" windowHeight="7770" activeTab="1"/>
  </bookViews>
  <sheets>
    <sheet name="справочные данные" sheetId="1" r:id="rId1"/>
    <sheet name="главная_страница" sheetId="2" r:id="rId2"/>
    <sheet name="расчеты" sheetId="3" r:id="rId3"/>
  </sheets>
  <definedNames>
    <definedName name="_xlnm._FilterDatabase" localSheetId="1" hidden="1">главная_страница!$B$1:$B$94</definedName>
    <definedName name="возраст_ферментов">'справочные данные'!$N$37:$N$41</definedName>
    <definedName name="дрожжи">'справочные данные'!$N$32:$N$35</definedName>
    <definedName name="запас">'справочные данные'!$N$46:$N$48</definedName>
    <definedName name="Запас_1">'справочные данные'!$N$50:$N$54</definedName>
    <definedName name="_xlnm.Criteria" localSheetId="1">главная_страница!$A$2:$C$21</definedName>
    <definedName name="параметры">'справочные данные'!$N$19:$N$22</definedName>
    <definedName name="пеногаситель">'справочные данные'!$N$25:$N$26</definedName>
    <definedName name="потери_сахаров">'справочные данные'!$N$56:$N$57</definedName>
    <definedName name="сырье">'справочные данные'!$A$18:$A$41</definedName>
    <definedName name="тип">'справочные данные'!$N$43:$N$44</definedName>
    <definedName name="ферменты">'справочные данные'!$N$28:$N$30</definedName>
  </definedNames>
  <calcPr calcId="145621"/>
</workbook>
</file>

<file path=xl/calcChain.xml><?xml version="1.0" encoding="utf-8"?>
<calcChain xmlns="http://schemas.openxmlformats.org/spreadsheetml/2006/main">
  <c r="D58" i="3" l="1"/>
  <c r="K58" i="3"/>
  <c r="J58" i="3"/>
  <c r="I58" i="3"/>
  <c r="H58" i="3"/>
  <c r="G58" i="3"/>
  <c r="F58" i="3"/>
  <c r="E58" i="3"/>
  <c r="C58" i="3"/>
  <c r="B58" i="3"/>
  <c r="D36" i="2"/>
  <c r="C36" i="2"/>
  <c r="B38" i="2"/>
  <c r="C38" i="2" s="1"/>
  <c r="D38" i="2" s="1"/>
  <c r="B39" i="2"/>
  <c r="C39" i="2" s="1"/>
  <c r="D39" i="2" s="1"/>
  <c r="B40" i="2"/>
  <c r="C40" i="2" s="1"/>
  <c r="D40" i="2" s="1"/>
  <c r="B41" i="2"/>
  <c r="C41" i="2" s="1"/>
  <c r="D41" i="2" s="1"/>
  <c r="B42" i="2"/>
  <c r="C42" i="2" s="1"/>
  <c r="D42" i="2" s="1"/>
  <c r="B43" i="2"/>
  <c r="C43" i="2" s="1"/>
  <c r="D43" i="2" s="1"/>
  <c r="B44" i="2"/>
  <c r="C44" i="2" s="1"/>
  <c r="D44" i="2" s="1"/>
  <c r="B45" i="2"/>
  <c r="C45" i="2" s="1"/>
  <c r="D45" i="2" s="1"/>
  <c r="B36" i="2"/>
  <c r="B37" i="2"/>
  <c r="C37" i="2" s="1"/>
  <c r="B14" i="3" l="1"/>
  <c r="A47" i="2" s="1"/>
  <c r="D37" i="2"/>
  <c r="E14" i="1"/>
  <c r="E13" i="1"/>
  <c r="B44" i="3" l="1"/>
  <c r="C30" i="3"/>
  <c r="E30" i="3" l="1"/>
  <c r="E32" i="3" s="1"/>
  <c r="G30" i="3"/>
  <c r="G32" i="3" s="1"/>
  <c r="G33" i="3" l="1"/>
  <c r="G31" i="3"/>
  <c r="E33" i="3"/>
  <c r="E31" i="3"/>
  <c r="A100" i="3" l="1"/>
  <c r="A101" i="3"/>
  <c r="A102" i="3"/>
  <c r="A103" i="3"/>
  <c r="A104" i="3"/>
  <c r="A105" i="3"/>
  <c r="A106" i="3"/>
  <c r="A107" i="3"/>
  <c r="A108" i="3"/>
  <c r="A109" i="3"/>
  <c r="F53" i="2" l="1"/>
  <c r="D4" i="1"/>
  <c r="B20" i="1"/>
  <c r="B28" i="1" s="1"/>
  <c r="F50" i="2"/>
  <c r="F49" i="2"/>
  <c r="F48" i="2"/>
  <c r="B22" i="3"/>
  <c r="C85" i="2"/>
  <c r="B77" i="3"/>
  <c r="D54" i="2"/>
  <c r="A55" i="2" s="1"/>
  <c r="L37" i="1"/>
  <c r="L38" i="1"/>
  <c r="L39" i="1"/>
  <c r="L40" i="1"/>
  <c r="L41" i="1"/>
  <c r="L36" i="1"/>
  <c r="A39" i="3"/>
  <c r="E30" i="2"/>
  <c r="B46" i="3" l="1"/>
  <c r="B22" i="1"/>
  <c r="B24" i="3"/>
  <c r="C31" i="3"/>
  <c r="E12" i="1" l="1"/>
  <c r="E11" i="1"/>
  <c r="D86" i="2"/>
  <c r="C32" i="3"/>
  <c r="C33" i="3" l="1"/>
  <c r="K55" i="3" l="1"/>
  <c r="J55" i="3"/>
  <c r="I55" i="3"/>
  <c r="H55" i="3"/>
  <c r="G55" i="3"/>
  <c r="F55" i="3"/>
  <c r="E55" i="3"/>
  <c r="D55" i="3"/>
  <c r="C55" i="3"/>
  <c r="B55" i="3"/>
  <c r="B21" i="1"/>
  <c r="D5" i="1"/>
  <c r="B56" i="3" l="1"/>
  <c r="B57" i="3" s="1"/>
  <c r="B59" i="3"/>
  <c r="B70" i="3"/>
  <c r="E64" i="3"/>
  <c r="E62" i="3"/>
  <c r="E66" i="3" s="1"/>
  <c r="E59" i="3"/>
  <c r="E65" i="3"/>
  <c r="E61" i="3"/>
  <c r="E70" i="3"/>
  <c r="E71" i="3" s="1"/>
  <c r="E63" i="3"/>
  <c r="E56" i="3"/>
  <c r="E57" i="3" s="1"/>
  <c r="E68" i="3"/>
  <c r="E69" i="3" s="1"/>
  <c r="I64" i="3"/>
  <c r="I68" i="3"/>
  <c r="I69" i="3" s="1"/>
  <c r="I65" i="3"/>
  <c r="I61" i="3"/>
  <c r="I70" i="3"/>
  <c r="I71" i="3" s="1"/>
  <c r="I63" i="3"/>
  <c r="I56" i="3"/>
  <c r="I57" i="3" s="1"/>
  <c r="I62" i="3"/>
  <c r="I66" i="3" s="1"/>
  <c r="I59" i="3"/>
  <c r="D70" i="3"/>
  <c r="D71" i="3" s="1"/>
  <c r="D63" i="3"/>
  <c r="D56" i="3"/>
  <c r="D57" i="3" s="1"/>
  <c r="D61" i="3"/>
  <c r="D64" i="3"/>
  <c r="D68" i="3"/>
  <c r="D69" i="3" s="1"/>
  <c r="D62" i="3"/>
  <c r="D66" i="3" s="1"/>
  <c r="D65" i="3"/>
  <c r="H70" i="3"/>
  <c r="H71" i="3" s="1"/>
  <c r="H63" i="3"/>
  <c r="H56" i="3"/>
  <c r="H57" i="3" s="1"/>
  <c r="H65" i="3"/>
  <c r="H64" i="3"/>
  <c r="H68" i="3"/>
  <c r="H69" i="3" s="1"/>
  <c r="H62" i="3"/>
  <c r="H66" i="3" s="1"/>
  <c r="H59" i="3"/>
  <c r="H61" i="3"/>
  <c r="C68" i="3"/>
  <c r="C69" i="3" s="1"/>
  <c r="C70" i="3"/>
  <c r="C71" i="3" s="1"/>
  <c r="C63" i="3"/>
  <c r="C56" i="3"/>
  <c r="C57" i="3" s="1"/>
  <c r="C65" i="3"/>
  <c r="C61" i="3"/>
  <c r="C64" i="3"/>
  <c r="G68" i="3"/>
  <c r="G69" i="3" s="1"/>
  <c r="G62" i="3"/>
  <c r="G66" i="3" s="1"/>
  <c r="G59" i="3"/>
  <c r="G64" i="3"/>
  <c r="G70" i="3"/>
  <c r="G71" i="3" s="1"/>
  <c r="G63" i="3"/>
  <c r="G56" i="3"/>
  <c r="G57" i="3" s="1"/>
  <c r="G65" i="3"/>
  <c r="G61" i="3"/>
  <c r="K68" i="3"/>
  <c r="K69" i="3" s="1"/>
  <c r="K62" i="3"/>
  <c r="K66" i="3" s="1"/>
  <c r="K59" i="3"/>
  <c r="K70" i="3"/>
  <c r="K71" i="3" s="1"/>
  <c r="K63" i="3"/>
  <c r="K56" i="3"/>
  <c r="K57" i="3" s="1"/>
  <c r="K65" i="3"/>
  <c r="K61" i="3"/>
  <c r="K64" i="3"/>
  <c r="F65" i="3"/>
  <c r="F61" i="3"/>
  <c r="F63" i="3"/>
  <c r="F68" i="3"/>
  <c r="F69" i="3" s="1"/>
  <c r="F62" i="3"/>
  <c r="F66" i="3" s="1"/>
  <c r="F59" i="3"/>
  <c r="F64" i="3"/>
  <c r="F70" i="3"/>
  <c r="F71" i="3" s="1"/>
  <c r="F56" i="3"/>
  <c r="F57" i="3" s="1"/>
  <c r="J65" i="3"/>
  <c r="J61" i="3"/>
  <c r="J70" i="3"/>
  <c r="J71" i="3" s="1"/>
  <c r="J56" i="3"/>
  <c r="J57" i="3" s="1"/>
  <c r="J68" i="3"/>
  <c r="J69" i="3" s="1"/>
  <c r="J62" i="3"/>
  <c r="J66" i="3" s="1"/>
  <c r="J59" i="3"/>
  <c r="J64" i="3"/>
  <c r="J63" i="3"/>
  <c r="B65" i="3"/>
  <c r="B63" i="3"/>
  <c r="B62" i="3"/>
  <c r="B68" i="3"/>
  <c r="B64" i="3"/>
  <c r="B61" i="3"/>
  <c r="B40" i="1"/>
  <c r="B39" i="1"/>
  <c r="B41" i="1"/>
  <c r="B38" i="1"/>
  <c r="B37" i="1"/>
  <c r="B23" i="1"/>
  <c r="B36" i="1"/>
  <c r="D59" i="3" s="1"/>
  <c r="B34" i="1"/>
  <c r="B32" i="1"/>
  <c r="B30" i="1"/>
  <c r="B26" i="1"/>
  <c r="B24" i="1"/>
  <c r="B35" i="1"/>
  <c r="B33" i="1"/>
  <c r="B31" i="1"/>
  <c r="B29" i="1"/>
  <c r="B27" i="1"/>
  <c r="B25" i="1"/>
  <c r="B10" i="3" l="1"/>
  <c r="B71" i="3"/>
  <c r="B48" i="3" s="1"/>
  <c r="I67" i="3"/>
  <c r="I60" i="3" s="1"/>
  <c r="E67" i="3"/>
  <c r="E60" i="3" s="1"/>
  <c r="F67" i="3"/>
  <c r="F60" i="3" s="1"/>
  <c r="J67" i="3"/>
  <c r="J60" i="3" s="1"/>
  <c r="D67" i="3"/>
  <c r="D60" i="3" s="1"/>
  <c r="H67" i="3"/>
  <c r="H60" i="3" s="1"/>
  <c r="B69" i="3"/>
  <c r="B15" i="3" s="1"/>
  <c r="B17" i="3" s="1"/>
  <c r="D56" i="2" s="1"/>
  <c r="K67" i="3"/>
  <c r="K60" i="3" s="1"/>
  <c r="G67" i="3"/>
  <c r="G60" i="3" s="1"/>
  <c r="B13" i="3"/>
  <c r="B12" i="3"/>
  <c r="B11" i="3"/>
  <c r="B32" i="3" s="1"/>
  <c r="D32" i="3" s="1"/>
  <c r="A49" i="2"/>
  <c r="H19" i="1"/>
  <c r="I19" i="1"/>
  <c r="E19" i="1"/>
  <c r="D19" i="1"/>
  <c r="C62" i="3" s="1"/>
  <c r="C66" i="3" s="1"/>
  <c r="C67" i="3" s="1"/>
  <c r="C60" i="3" s="1"/>
  <c r="F32" i="3" l="1"/>
  <c r="H32" i="3" s="1"/>
  <c r="I32" i="3" s="1"/>
  <c r="F22" i="2" s="1"/>
  <c r="B74" i="3"/>
  <c r="C74" i="3" s="1"/>
  <c r="B49" i="3"/>
  <c r="B19" i="1"/>
  <c r="C59" i="3" s="1"/>
  <c r="B33" i="3"/>
  <c r="D33" i="3" s="1"/>
  <c r="D68" i="2" l="1"/>
  <c r="F27" i="2"/>
  <c r="F33" i="3"/>
  <c r="H33" i="3" s="1"/>
  <c r="I33" i="3" s="1"/>
  <c r="F23" i="2" s="1"/>
  <c r="B66" i="3"/>
  <c r="B5" i="3"/>
  <c r="B75" i="3" s="1"/>
  <c r="D69" i="2" l="1"/>
  <c r="F28" i="2"/>
  <c r="B76" i="3"/>
  <c r="C75" i="3"/>
  <c r="C76" i="3"/>
  <c r="B50" i="3"/>
  <c r="B7" i="3"/>
  <c r="B67" i="3"/>
  <c r="B6" i="3"/>
  <c r="B52" i="3" l="1"/>
  <c r="B51" i="3"/>
  <c r="B60" i="3"/>
  <c r="B8" i="3"/>
  <c r="C78" i="3"/>
  <c r="D74" i="3" s="1"/>
  <c r="B31" i="3" l="1"/>
  <c r="D31" i="3" s="1"/>
  <c r="B30" i="3"/>
  <c r="D30" i="3" s="1"/>
  <c r="B3" i="3"/>
  <c r="F42" i="2" s="1"/>
  <c r="A60" i="2"/>
  <c r="A75" i="2" s="1"/>
  <c r="B78" i="3"/>
  <c r="B79" i="3" s="1"/>
  <c r="F13" i="2"/>
  <c r="E74" i="3" l="1"/>
  <c r="C60" i="2" s="1"/>
  <c r="F16" i="2"/>
  <c r="D52" i="2" s="1"/>
  <c r="F14" i="2"/>
  <c r="F30" i="3"/>
  <c r="H30" i="3" s="1"/>
  <c r="I30" i="3" s="1"/>
  <c r="F20" i="2" s="1"/>
  <c r="F31" i="3"/>
  <c r="H31" i="3" s="1"/>
  <c r="I31" i="3" s="1"/>
  <c r="F21" i="2" s="1"/>
  <c r="A73" i="2"/>
  <c r="A70" i="2"/>
  <c r="A71" i="2"/>
  <c r="A74" i="2"/>
  <c r="A72" i="2"/>
  <c r="F37" i="2"/>
  <c r="B21" i="3"/>
  <c r="B39" i="3" s="1"/>
  <c r="B45" i="3" s="1"/>
  <c r="F36" i="2"/>
  <c r="A76" i="2"/>
  <c r="A62" i="2"/>
  <c r="B18" i="3"/>
  <c r="B19" i="3"/>
  <c r="B16" i="3"/>
  <c r="D57" i="2" s="1"/>
  <c r="B40" i="3" l="1"/>
  <c r="D67" i="2"/>
  <c r="F26" i="2"/>
  <c r="D66" i="2"/>
  <c r="F25" i="2"/>
  <c r="B20" i="3"/>
  <c r="D51" i="2" s="1"/>
  <c r="F17" i="2"/>
  <c r="F38" i="2" l="1"/>
  <c r="C24" i="2"/>
  <c r="F30" i="2"/>
  <c r="B41" i="3"/>
  <c r="B43" i="3" s="1"/>
  <c r="C9" i="1" s="1"/>
  <c r="F47" i="2" s="1"/>
  <c r="C25" i="2" l="1"/>
  <c r="B23" i="3"/>
  <c r="D94" i="2"/>
  <c r="C12" i="1"/>
  <c r="C14" i="1" s="1"/>
  <c r="F51" i="2" s="1"/>
  <c r="B9" i="3" l="1"/>
  <c r="B4" i="3" s="1"/>
  <c r="F18" i="2" l="1"/>
  <c r="F15" i="2"/>
  <c r="F40" i="2" s="1"/>
  <c r="F43" i="2"/>
  <c r="F44" i="2" s="1"/>
  <c r="B25" i="3" l="1"/>
  <c r="B26" i="3" s="1"/>
  <c r="B27" i="3" s="1"/>
  <c r="B28" i="3" s="1"/>
  <c r="D87" i="2"/>
  <c r="E61" i="2" s="1"/>
  <c r="A88" i="2" l="1"/>
  <c r="E59" i="2"/>
  <c r="E58" i="2"/>
  <c r="E56" i="2"/>
  <c r="E60" i="2"/>
</calcChain>
</file>

<file path=xl/comments1.xml><?xml version="1.0" encoding="utf-8"?>
<comments xmlns="http://schemas.openxmlformats.org/spreadsheetml/2006/main">
  <authors>
    <author>Автор</author>
  </authors>
  <commentList>
    <comment ref="E11" authorId="0">
      <text>
        <r>
          <rPr>
            <sz val="9"/>
            <color indexed="81"/>
            <rFont val="Tahoma"/>
            <family val="2"/>
            <charset val="204"/>
          </rPr>
          <t xml:space="preserve">Под стандартными потерями сахаров понимаются потери на синтез дрожжами собственной биомассы и побочных продуктов брожения. Так же в эти цифры входят "до кучи" потери  АС с углекислым газом... 
</t>
        </r>
      </text>
    </comment>
    <comment ref="E14" authorId="0">
      <text>
        <r>
          <rPr>
            <sz val="9"/>
            <color indexed="81"/>
            <rFont val="Tahoma"/>
            <family val="2"/>
            <charset val="204"/>
          </rPr>
          <t xml:space="preserve">Сахаристость без учета потерь сахаров. Будто бы весь крахмал превратился в сахар
</t>
        </r>
      </text>
    </comment>
    <comment ref="E15" authorId="0">
      <text>
        <r>
          <rPr>
            <sz val="9"/>
            <color indexed="81"/>
            <rFont val="Tahoma"/>
            <family val="2"/>
            <charset val="204"/>
          </rPr>
          <t>Спиртуозность после брожения с учетом стандартных потерь сахаров
(если выбрана вкладка учитывать потери сахаров))), если же потери не учитываются, то показана теоретическая спиртуозность без учета возможных потерь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Соотношение засыпи и воды. Обычно коллеблется около 3,5-5 для разных случаев.
Если ячейка окрасилась красным, то у Вас черезвычайно малый гидромодуль. Дрожжи не выбродят весь сахар в сусле. Будет НЕДОБРОД!!!
Так же Вы заметили, наверно, кружок в ячейке с числом гидромодуля. Он характеризует на сколько гидромодуль удачен с точки зрения удобства перемешивания сырья и работы с суслом. Носит общий рекомендательный характер. Что означает цвет кружка смотри в примечании к ячейке)))
Если кратко, то :
при гидромодуле больше 5 кружок желтый, меньше 5 но больше 3 - зеленый, менее 3 но больше 2 - красный, если менее 2, то черный.
Не старайтесь делать гидромодуль больше 5! Не делайте его и слишком маленьким. Не впадайте в крайности.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7" authorId="0">
      <text>
        <r>
          <rPr>
            <sz val="9"/>
            <color indexed="81"/>
            <rFont val="Tahoma"/>
            <family val="2"/>
            <charset val="204"/>
          </rPr>
          <t xml:space="preserve">С учетом нашего ответа по пеногасителю
</t>
        </r>
      </text>
    </comment>
    <comment ref="E18" authorId="0">
      <text>
        <r>
          <rPr>
            <sz val="9"/>
            <color indexed="81"/>
            <rFont val="Tahoma"/>
            <family val="2"/>
            <charset val="204"/>
          </rPr>
          <t>Если выбрана вкладка учитывать потери сахаров, то данные по выходу АС получены с учетом основных потерь, если же выбрана вкладка потери не учитываьб, то данные по выходу АС нужно понимать как теоретические.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4" authorId="0">
      <text>
        <r>
          <rPr>
            <sz val="14"/>
            <color indexed="81"/>
            <rFont val="Tahoma"/>
            <family val="2"/>
            <charset val="204"/>
          </rPr>
          <t xml:space="preserve">Не у каждого дома имеются весы способные точно взвесить несколько грамм. Но у каждого дома есть стопки! Зная объем стопки в мл, можно посчитать сколько в нее войдет ферментов в граммах! Лучше подайдет мерный стаканчик.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2" authorId="0">
      <text>
        <r>
          <rPr>
            <b/>
            <sz val="9"/>
            <color indexed="81"/>
            <rFont val="Tahoma"/>
            <family val="2"/>
            <charset val="204"/>
          </rPr>
          <t>если весь крахмал превратился в сахар, весь сахар сбродил и превратился в спирт, а все побочные "расходы " дрожжи сами возместили нам из большого к нам уважения))))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3" authorId="0">
      <text>
        <r>
          <rPr>
            <b/>
            <sz val="9"/>
            <color indexed="81"/>
            <rFont val="Tahoma"/>
            <family val="2"/>
            <charset val="204"/>
          </rPr>
          <t>Список этих потерь смотри ниже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4" authorId="0">
      <text>
        <r>
          <rPr>
            <b/>
            <sz val="9"/>
            <color indexed="81"/>
            <rFont val="Tahoma"/>
            <family val="2"/>
            <charset val="204"/>
          </rPr>
          <t>То что останется поле перегонки браги в СС. То ради сего все и затевалось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7" authorId="0">
      <text>
        <r>
          <rPr>
            <b/>
            <sz val="9"/>
            <color indexed="81"/>
            <rFont val="Tahoma"/>
            <family val="2"/>
            <charset val="204"/>
          </rPr>
          <t>Дрожжи расходуют часть сахаров из раствора на размножение и собственный рост.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8" authorId="0">
      <text>
        <r>
          <rPr>
            <b/>
            <sz val="9"/>
            <color indexed="81"/>
            <rFont val="Tahoma"/>
            <family val="2"/>
            <charset val="204"/>
          </rPr>
          <t>Кроме спирта дрожжи вырабатывают кучу всяких побочных продуктов. Например сивушные масла, альдегиды, кислоты и пр. На все это тоже расходуются сахара из нашего сусла. Чем хуже условия брожения, тем больше бяки набраживается и тем больше нецелевое расходование сахаров...</t>
        </r>
      </text>
    </comment>
    <comment ref="E4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Улетающая их браги углекислота уносит с собой часть спирта.Значение привидено  в пересчете на сахар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50" authorId="0">
      <text>
        <r>
          <rPr>
            <b/>
            <sz val="9"/>
            <color indexed="81"/>
            <rFont val="Tahoma"/>
            <family val="2"/>
            <charset val="204"/>
          </rPr>
          <t>Например недоразваренное сырье и как следствие неполная клейстеризация и выход крахмальных зерен в раствор.
Или неоптимальные условия осахаривания. 
На стадии брожения закисание и развитие паразитарной микрофлоры...
Причин может быть много. Величина взята условная. На сахаре она меньше, на зерне больше. При желании можно изменить в разделе справочные данные.</t>
        </r>
      </text>
    </comment>
    <comment ref="E53" authorId="0">
      <text>
        <r>
          <rPr>
            <sz val="9"/>
            <color indexed="81"/>
            <rFont val="Tahoma"/>
            <family val="2"/>
            <charset val="204"/>
          </rPr>
          <t xml:space="preserve">Значения даны примерно. Кто то гонит до суха, а кто то оставляет часть спирта в барде. У кого то НБК, а у кого то простой куб. Все очень индивидуально.
</t>
        </r>
      </text>
    </comment>
  </commentList>
</comments>
</file>

<file path=xl/sharedStrings.xml><?xml version="1.0" encoding="utf-8"?>
<sst xmlns="http://schemas.openxmlformats.org/spreadsheetml/2006/main" count="334" uniqueCount="271">
  <si>
    <t>сырье</t>
  </si>
  <si>
    <t>рис</t>
  </si>
  <si>
    <t>солод</t>
  </si>
  <si>
    <t>солод ячменный</t>
  </si>
  <si>
    <t>солод пшеничный</t>
  </si>
  <si>
    <t>жиры</t>
  </si>
  <si>
    <t>мука пшеничная в/с</t>
  </si>
  <si>
    <t>сырье не выбрано</t>
  </si>
  <si>
    <t>мука пшеничная 2/с</t>
  </si>
  <si>
    <t>мука ржаная обойная</t>
  </si>
  <si>
    <t>гидромодуль</t>
  </si>
  <si>
    <t>Параметры затора</t>
  </si>
  <si>
    <t>Сырье для затора</t>
  </si>
  <si>
    <t>вес в кг</t>
  </si>
  <si>
    <t>пеногаситель</t>
  </si>
  <si>
    <t>ферменты</t>
  </si>
  <si>
    <t>параметры сусла</t>
  </si>
  <si>
    <t>объем сусла (л)</t>
  </si>
  <si>
    <t>сахаристость сусла % мас</t>
  </si>
  <si>
    <t>спиртуозность браги в % об</t>
  </si>
  <si>
    <t>основные</t>
  </si>
  <si>
    <t>дополнительные</t>
  </si>
  <si>
    <t>дрожжи</t>
  </si>
  <si>
    <t>сухие хлебопекарские дрожжи</t>
  </si>
  <si>
    <t>пресованные хлебопекарские</t>
  </si>
  <si>
    <t>Плотность (насыпная) сырья</t>
  </si>
  <si>
    <t>сахар</t>
  </si>
  <si>
    <t>мука</t>
  </si>
  <si>
    <t>зерно</t>
  </si>
  <si>
    <t>выход в литрах АС с 1 кг сырья</t>
  </si>
  <si>
    <t>свой вариант сырья</t>
  </si>
  <si>
    <t>крахмал</t>
  </si>
  <si>
    <t>мука пшеничная 1/с</t>
  </si>
  <si>
    <t>мука пшеничная об.</t>
  </si>
  <si>
    <t>мука ржаная сеян.</t>
  </si>
  <si>
    <t>мука ржаная обдирная</t>
  </si>
  <si>
    <t>ячмень (зерно, крупа)</t>
  </si>
  <si>
    <t>кукуруза (зерно, крупа)</t>
  </si>
  <si>
    <t>рожь (зерно, крупа)</t>
  </si>
  <si>
    <t>пшеница (зерно, крупа)</t>
  </si>
  <si>
    <t>горох (цельный, крупа)</t>
  </si>
  <si>
    <t>пшено (просо)</t>
  </si>
  <si>
    <t>срлод ржаной</t>
  </si>
  <si>
    <t>винные дрожжи</t>
  </si>
  <si>
    <t>спиртовые дрожжи</t>
  </si>
  <si>
    <t>применяется</t>
  </si>
  <si>
    <t>не используется</t>
  </si>
  <si>
    <t xml:space="preserve">сырье </t>
  </si>
  <si>
    <t>вес сырья в закладке в кг</t>
  </si>
  <si>
    <t>Выход АС в литрах с нашей навески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</si>
  <si>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</si>
  <si>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</si>
  <si>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</si>
  <si>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</si>
  <si>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</si>
  <si>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</si>
  <si>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</si>
  <si>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</si>
  <si>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</si>
  <si>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</si>
  <si>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Выход АС теоретический</t>
  </si>
  <si>
    <t>удельная плотность</t>
  </si>
  <si>
    <t xml:space="preserve">удельная плотность </t>
  </si>
  <si>
    <t>крахмал %</t>
  </si>
  <si>
    <t>белок %</t>
  </si>
  <si>
    <t>сахара</t>
  </si>
  <si>
    <t>целлюлоза</t>
  </si>
  <si>
    <t>зола</t>
  </si>
  <si>
    <t>крахмала</t>
  </si>
  <si>
    <t>белка</t>
  </si>
  <si>
    <t xml:space="preserve">целлюлозы </t>
  </si>
  <si>
    <t>сахаров</t>
  </si>
  <si>
    <t>Если выбрано свое сырье, то укажите примерное содержание в нем  в %</t>
  </si>
  <si>
    <t>крахмала в засыпи</t>
  </si>
  <si>
    <t>клетчатки</t>
  </si>
  <si>
    <t>условного сахара</t>
  </si>
  <si>
    <t>сахара всего</t>
  </si>
  <si>
    <t>коэффициэнт пересчета крахмала в условный сахар</t>
  </si>
  <si>
    <t>пересчет сахара в условный крахмал</t>
  </si>
  <si>
    <t>выход спирта с 1 кг сахарозы</t>
  </si>
  <si>
    <t>выход спирта с 1 кг крахмала</t>
  </si>
  <si>
    <t>прочие НПС (ксиланы, β-глюкан, пектины)</t>
  </si>
  <si>
    <t>НПС</t>
  </si>
  <si>
    <t>синтез биомассы дрожжей</t>
  </si>
  <si>
    <t>на образование вторичных продуктов </t>
  </si>
  <si>
    <t>с углекислотой</t>
  </si>
  <si>
    <t>Итого</t>
  </si>
  <si>
    <t>Потери дополнительные (криворукость)</t>
  </si>
  <si>
    <t>Всего потерь</t>
  </si>
  <si>
    <t xml:space="preserve">Потери непредотвратимые </t>
  </si>
  <si>
    <t>свободных сахаров</t>
  </si>
  <si>
    <t>сахаров условных (из крахмала)</t>
  </si>
  <si>
    <t>сахаров в сусле всего (сахаристость)кг</t>
  </si>
  <si>
    <t>Итог</t>
  </si>
  <si>
    <t>навеска займет в заторе (л)</t>
  </si>
  <si>
    <t>обьем занимаемый засыпью в сусле (л)</t>
  </si>
  <si>
    <t>белка в засыпи</t>
  </si>
  <si>
    <t>сырой клетчатки в засыпи</t>
  </si>
  <si>
    <t>Выход АС с учетом потерь</t>
  </si>
  <si>
    <t>Вес засыпи</t>
  </si>
  <si>
    <t>Ферменты</t>
  </si>
  <si>
    <t>АмилоЛюкс</t>
  </si>
  <si>
    <t xml:space="preserve">Глюкаваморин </t>
  </si>
  <si>
    <t>Протосубтилин</t>
  </si>
  <si>
    <t xml:space="preserve"> Целлолюкс</t>
  </si>
  <si>
    <t>актитвность ед./г см3</t>
  </si>
  <si>
    <t>название</t>
  </si>
  <si>
    <t>Расход ед./г  крахмала(max)</t>
  </si>
  <si>
    <t xml:space="preserve"> Расход г/кг  крахмала(max)</t>
  </si>
  <si>
    <t xml:space="preserve">АмилоЛюкс </t>
  </si>
  <si>
    <t>Расход ферментов (г)</t>
  </si>
  <si>
    <t>Возраст ферментов</t>
  </si>
  <si>
    <t>свеженькие - менее 3 месяцев</t>
  </si>
  <si>
    <t>около полугода</t>
  </si>
  <si>
    <t>около года, но хранились нормально</t>
  </si>
  <si>
    <t>более года хранились хрен знает как)))</t>
  </si>
  <si>
    <t>коэффициэнт</t>
  </si>
  <si>
    <t>еще от прадеда достались</t>
  </si>
  <si>
    <t>возраст ферментов</t>
  </si>
  <si>
    <t>Объем тары под это сусло</t>
  </si>
  <si>
    <t>коэфф. Пенообразования</t>
  </si>
  <si>
    <t>коэффициэнт пенообразования общий</t>
  </si>
  <si>
    <t>промежуточный пересчет</t>
  </si>
  <si>
    <t>Расход пеногасителя на 100 литров затора</t>
  </si>
  <si>
    <t>расход пеногасителя в мл на затор</t>
  </si>
  <si>
    <t>оставить места под пену (без п/г) в %</t>
  </si>
  <si>
    <t xml:space="preserve">Незаполненный остаток емкости под пену </t>
  </si>
  <si>
    <t>Требуется емкость под затор без  п/г</t>
  </si>
  <si>
    <t>Требуется емкость под затор с  п/г</t>
  </si>
  <si>
    <t>расход дрожжей (г)</t>
  </si>
  <si>
    <t>Дрожжи</t>
  </si>
  <si>
    <t>Расход дрожжей</t>
  </si>
  <si>
    <t>теоретическая спиртуозность браги % об</t>
  </si>
  <si>
    <t>теоретическая сахаристость сусла % мас</t>
  </si>
  <si>
    <t>Потери сахара %</t>
  </si>
  <si>
    <t>предельная спиртуозность</t>
  </si>
  <si>
    <t xml:space="preserve">рекомендуемая итоговая спиртуозность браги </t>
  </si>
  <si>
    <t>коэф. пенообразования</t>
  </si>
  <si>
    <t>солод кукурузный</t>
  </si>
  <si>
    <t>солод просяной</t>
  </si>
  <si>
    <t>солод овсяный</t>
  </si>
  <si>
    <t>вид солода</t>
  </si>
  <si>
    <t>хороший</t>
  </si>
  <si>
    <t>средний</t>
  </si>
  <si>
    <t>удов-ный</t>
  </si>
  <si>
    <t>Осп ед/г</t>
  </si>
  <si>
    <t>осахаривающая способность (ОСп ед/г)</t>
  </si>
  <si>
    <t>качество солода</t>
  </si>
  <si>
    <t>солод хороший</t>
  </si>
  <si>
    <t>солод средний</t>
  </si>
  <si>
    <t>солод удовлетворительный</t>
  </si>
  <si>
    <t>ОСп ед/г (согласно выбранному качеству)</t>
  </si>
  <si>
    <t>Активных едениц</t>
  </si>
  <si>
    <t>Солод</t>
  </si>
  <si>
    <t>Активных едениц всего</t>
  </si>
  <si>
    <t>Осахарит крахмала (кг)</t>
  </si>
  <si>
    <t>примечание</t>
  </si>
  <si>
    <t>1 активная еденица расщепляет  крахмала в г</t>
  </si>
  <si>
    <t xml:space="preserve">крахмала в засыпи </t>
  </si>
  <si>
    <t>коэф. избытка солода</t>
  </si>
  <si>
    <t>остается необработанного крахмала</t>
  </si>
  <si>
    <t>Компонент</t>
  </si>
  <si>
    <t>№</t>
  </si>
  <si>
    <t>засыпь</t>
  </si>
  <si>
    <t>вода</t>
  </si>
  <si>
    <t>Воды (л)  на данную засыпь мы используем</t>
  </si>
  <si>
    <t>общий вес засыпи составит (кг)</t>
  </si>
  <si>
    <t>общий объем засыпи составит (л)</t>
  </si>
  <si>
    <t>Гидромодуль при этом будет такой</t>
  </si>
  <si>
    <t>Активность общая</t>
  </si>
  <si>
    <t>Крахмала в засыпи</t>
  </si>
  <si>
    <t>Судя по засыпи нашу будущую брагу можно назвать так:</t>
  </si>
  <si>
    <t>Мы решили что пеногаситель  у нас</t>
  </si>
  <si>
    <t>Запас под пену возьмем с учетом этого  (%)</t>
  </si>
  <si>
    <t>Классификация, конечно условная)))</t>
  </si>
  <si>
    <t>Раз сусло не содержит крахмал, то и ферменты нам без надобности))) Поэтому и в столбцах мы видим нули)))</t>
  </si>
  <si>
    <t>Раз сусло содержит крахмал то нам потребуются ферменты.</t>
  </si>
  <si>
    <t>Раз у нас используется солод, то его ферменты тоже учитываются, как осахаривающие. Поэтому расход микробиологическиз ферментов указан как компенсация того чего не доосахарил и не разложил на компоненты сам солод. Если расход А и Г указан как "0", значит Ваш солод все осахарил сам! Если же указанна цифра отличная от "0", то солоду нужно "помочь" добавив эту навеску ферментов.  Ферменты П и Ц  считаются так, будто солод их вовсе не содержит. Такое вот допущение, для технологичности.</t>
  </si>
  <si>
    <t>Микробиологические ферменты указаны в данном случае с учетом их свежести. Со временем при хранении ферменты теряют активность. Обязательными ферментами являются А и Г. П и Ц факультативные.</t>
  </si>
  <si>
    <t>Общее содержание Ае в нашем солоде</t>
  </si>
  <si>
    <t>Они смогут осахарить крахмала (кг)</t>
  </si>
  <si>
    <t>Останется недоосахаренного крахмала (кг)</t>
  </si>
  <si>
    <t>Общий итог</t>
  </si>
  <si>
    <t xml:space="preserve">Выбрали мы </t>
  </si>
  <si>
    <t>Максимальная крепость браги для них</t>
  </si>
  <si>
    <t>У нас же теоретически может набродить</t>
  </si>
  <si>
    <t>расход дрожжей  (г)</t>
  </si>
  <si>
    <t>Воды расходуется (л)</t>
  </si>
  <si>
    <t>общий объем сусла (л)</t>
  </si>
  <si>
    <t>Выбранные дрожжи</t>
  </si>
  <si>
    <t>Многовато выходит. Весь сахар не выбродит. Будут потери. Да и скорость брожения возрастет. Лучше бы увеличить гидромодуль или если объем  тары не позволяет, применить более устойчивые к алкоголю дрожжи. В конце концов засыпи можно взять поменьше. Дело ваше.</t>
  </si>
  <si>
    <t>Расчетная спиртуозность не превышает предельной для дрожжей. Должно все полно выбродить.</t>
  </si>
  <si>
    <t>Как хорошо что не нужны ферменты! Меньше расходов))) Да и портятся они как говорят… Сам слышал! Во как… А сахарная брага и на НБК быстрее гонится и оборудование от нее отмывать легче… Но все же попробуйте зерновую! Она вкуснее)))))</t>
  </si>
  <si>
    <t>Сусло</t>
  </si>
  <si>
    <t>Объем сусла (л)</t>
  </si>
  <si>
    <t>Сахаристость сусла у нас полусилась</t>
  </si>
  <si>
    <t>Итак, мы собираемся смешать следующие ингридиенты:</t>
  </si>
  <si>
    <t>И получим :</t>
  </si>
  <si>
    <t>Брага</t>
  </si>
  <si>
    <t>спиртуозность браги составит</t>
  </si>
  <si>
    <t xml:space="preserve">Выход спирта </t>
  </si>
  <si>
    <t>с учетом стандартных потерь</t>
  </si>
  <si>
    <t>теоретический (невозможен в принципе)</t>
  </si>
  <si>
    <t>Синтез биомассы дрожжей</t>
  </si>
  <si>
    <t>Образование вторичных продуктов бр-я</t>
  </si>
  <si>
    <t>С углекислотой</t>
  </si>
  <si>
    <t>Неучитываемые  потери (криворукость)</t>
  </si>
  <si>
    <t>Общая величина потерь в %</t>
  </si>
  <si>
    <t>сахаров в сусле всего (сахаристость)кг с учетом потерь</t>
  </si>
  <si>
    <t xml:space="preserve">К стандартным потерям относятся (% потерь от общего сахара в сусле): </t>
  </si>
  <si>
    <t>Потери</t>
  </si>
  <si>
    <t>Потери при перегонке</t>
  </si>
  <si>
    <t>Выход после перегонки</t>
  </si>
  <si>
    <t>Расход микробилогических ферментов (г)</t>
  </si>
  <si>
    <t>Прочие потери (% от АС содержащегося в браге)</t>
  </si>
  <si>
    <t>Примечание</t>
  </si>
  <si>
    <t>Реальная спиртуозность</t>
  </si>
  <si>
    <t>Максимальный выход спирта в реальности</t>
  </si>
  <si>
    <t>Недобродило сахара (кг)</t>
  </si>
  <si>
    <t>Это соответствует сброженному сахару (кг)</t>
  </si>
  <si>
    <t>В целом затор сбаллансирован. Принципиальных замечаний нет.</t>
  </si>
  <si>
    <t>Ваши дрожжи такое не сбродят до конца… Будет недоброд. В переводе на сахар он составит (кг):</t>
  </si>
  <si>
    <t>Реальное содержание спирта в браге может составить  всего (л) :</t>
  </si>
  <si>
    <t>А после перегонки и того меньше …</t>
  </si>
  <si>
    <t>Результаты кратенько</t>
  </si>
  <si>
    <t>тип осахаривания (ГОС, ХОС)</t>
  </si>
  <si>
    <t>Тип осахаривания</t>
  </si>
  <si>
    <t>ГОС</t>
  </si>
  <si>
    <t>ХОС</t>
  </si>
  <si>
    <t>Запас</t>
  </si>
  <si>
    <t>Заводская дозировка</t>
  </si>
  <si>
    <t>Запас 25%</t>
  </si>
  <si>
    <t>Запас 50%</t>
  </si>
  <si>
    <t>"Запас" в дозировке ферментов</t>
  </si>
  <si>
    <t>коэф. Свежести</t>
  </si>
  <si>
    <t>расход с коэф. Свежести</t>
  </si>
  <si>
    <t>коэф запаса</t>
  </si>
  <si>
    <t>расход с коэф. Запаса</t>
  </si>
  <si>
    <t>коэф типа затора</t>
  </si>
  <si>
    <t>расход с коэф. Типа затора</t>
  </si>
  <si>
    <t>общий расход</t>
  </si>
  <si>
    <t>занимает мл 1 грамм</t>
  </si>
  <si>
    <t>в граммах</t>
  </si>
  <si>
    <t xml:space="preserve">расход ферментов </t>
  </si>
  <si>
    <t>в мл</t>
  </si>
  <si>
    <t>норма засева  г/л</t>
  </si>
  <si>
    <t>сколько прирастет дрожжей г</t>
  </si>
  <si>
    <t>норма расхода  г на 1 л сусла</t>
  </si>
  <si>
    <t>максимальные потери на биосинтез массы дрожжей %</t>
  </si>
  <si>
    <t>в нашем случае потери в %</t>
  </si>
  <si>
    <t>"норма" плотности засева г/сусле (конечная численность)</t>
  </si>
  <si>
    <t>"Запас" в дозировке дрожжей</t>
  </si>
  <si>
    <t>Запас_1</t>
  </si>
  <si>
    <t>Стандартная дозировка</t>
  </si>
  <si>
    <t>Запас 75 %</t>
  </si>
  <si>
    <t>Запас 100%</t>
  </si>
  <si>
    <t>расход с запасом</t>
  </si>
  <si>
    <t>процент расхода</t>
  </si>
  <si>
    <t>множитель для зерна</t>
  </si>
  <si>
    <t>наличие сахара</t>
  </si>
  <si>
    <t>норма с учетом сырья</t>
  </si>
  <si>
    <t>не учитываются</t>
  </si>
  <si>
    <t>учитываются</t>
  </si>
  <si>
    <t>потери_сахаров</t>
  </si>
  <si>
    <t>Потери сахаров (стандартные)</t>
  </si>
  <si>
    <t>Расход пеногасителя будет (мл)</t>
  </si>
  <si>
    <t>Объем тары под это сусло необходим (л)</t>
  </si>
  <si>
    <t>Выход АС с нашей засыпи (л)</t>
  </si>
  <si>
    <t>Калькулятор заторов</t>
  </si>
  <si>
    <t>полный объем емкости</t>
  </si>
  <si>
    <t>сколько литров запаса оставили (под пену)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</si>
</sst>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Adventure"/>
      <charset val="204"/>
    </font>
    <font>
      <sz val="10"/>
      <color theme="1"/>
      <name val="Adventure"/>
      <charset val="204"/>
    </font>
    <font>
      <sz val="11"/>
      <name val="Adventure"/>
      <charset val="204"/>
    </font>
    <font>
      <sz val="12"/>
      <name val="Adventure"/>
      <charset val="204"/>
    </font>
    <font>
      <sz val="14"/>
      <color theme="1"/>
      <name val="Adventure"/>
      <charset val="204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Segoe Print"/>
      <charset val="204"/>
    </font>
    <font>
      <sz val="20"/>
      <color theme="1"/>
      <name val="Segoe Print"/>
      <charset val="204"/>
    </font>
    <font>
      <sz val="12"/>
      <color theme="1"/>
      <name val="Segoe Print"/>
      <charset val="204"/>
    </font>
    <font>
      <sz val="22"/>
      <color theme="1"/>
      <name val="Segoe Print"/>
      <charset val="204"/>
    </font>
    <font>
      <b/>
      <sz val="11"/>
      <color theme="1"/>
      <name val="Segoe Print"/>
      <charset val="204"/>
    </font>
    <font>
      <sz val="18"/>
      <color theme="1"/>
      <name val="Segoe Print"/>
      <charset val="204"/>
    </font>
    <font>
      <b/>
      <sz val="12"/>
      <name val="Segoe Print"/>
      <charset val="204"/>
    </font>
    <font>
      <b/>
      <sz val="18"/>
      <name val="Segoe Print"/>
      <charset val="204"/>
    </font>
    <font>
      <b/>
      <sz val="12"/>
      <color rgb="FFFF0000"/>
      <name val="Segoe Print"/>
      <charset val="204"/>
    </font>
    <font>
      <b/>
      <sz val="18"/>
      <color rgb="FFFF0000"/>
      <name val="Segoe Print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color indexed="81"/>
      <name val="Tahoma"/>
      <family val="2"/>
      <charset val="204"/>
    </font>
    <font>
      <sz val="9"/>
      <color indexed="81"/>
      <name val="Tahoma"/>
      <charset val="1"/>
    </font>
    <font>
      <sz val="24"/>
      <color theme="1"/>
      <name val="Segoe Print"/>
      <charset val="204"/>
    </font>
  </fonts>
  <fills count="1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2" xfId="0" applyBorder="1"/>
    <xf numFmtId="0" fontId="0" fillId="0" borderId="4" xfId="0" applyFill="1" applyBorder="1"/>
    <xf numFmtId="0" fontId="0" fillId="5" borderId="4" xfId="0" applyFill="1" applyBorder="1"/>
    <xf numFmtId="0" fontId="3" fillId="4" borderId="4" xfId="0" applyFont="1" applyFill="1" applyBorder="1"/>
    <xf numFmtId="0" fontId="1" fillId="5" borderId="4" xfId="0" applyFont="1" applyFill="1" applyBorder="1"/>
    <xf numFmtId="0" fontId="1" fillId="7" borderId="4" xfId="0" applyFont="1" applyFill="1" applyBorder="1"/>
    <xf numFmtId="0" fontId="1" fillId="7" borderId="0" xfId="0" applyFont="1" applyFill="1" applyBorder="1"/>
    <xf numFmtId="0" fontId="1" fillId="3" borderId="4" xfId="0" applyFont="1" applyFill="1" applyBorder="1"/>
    <xf numFmtId="0" fontId="1" fillId="0" borderId="0" xfId="0" applyFont="1" applyBorder="1"/>
    <xf numFmtId="0" fontId="5" fillId="0" borderId="4" xfId="0" applyFont="1" applyBorder="1"/>
    <xf numFmtId="0" fontId="5" fillId="2" borderId="4" xfId="0" applyFont="1" applyFill="1" applyBorder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0" fontId="5" fillId="0" borderId="4" xfId="0" applyFont="1" applyFill="1" applyBorder="1"/>
    <xf numFmtId="0" fontId="0" fillId="0" borderId="4" xfId="0" applyBorder="1" applyAlignment="1">
      <alignment horizontal="left"/>
    </xf>
    <xf numFmtId="0" fontId="6" fillId="9" borderId="4" xfId="0" applyFont="1" applyFill="1" applyBorder="1"/>
    <xf numFmtId="164" fontId="6" fillId="10" borderId="4" xfId="0" applyNumberFormat="1" applyFont="1" applyFill="1" applyBorder="1"/>
    <xf numFmtId="0" fontId="1" fillId="11" borderId="4" xfId="0" applyFont="1" applyFill="1" applyBorder="1"/>
    <xf numFmtId="0" fontId="3" fillId="4" borderId="4" xfId="0" applyFont="1" applyFill="1" applyBorder="1" applyAlignment="1">
      <alignment horizontal="center"/>
    </xf>
    <xf numFmtId="164" fontId="1" fillId="5" borderId="4" xfId="0" applyNumberFormat="1" applyFont="1" applyFill="1" applyBorder="1" applyAlignment="1">
      <alignment horizontal="center"/>
    </xf>
    <xf numFmtId="164" fontId="1" fillId="7" borderId="4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 vertical="center" wrapText="1"/>
    </xf>
    <xf numFmtId="0" fontId="0" fillId="5" borderId="2" xfId="0" applyFill="1" applyBorder="1" applyAlignment="1"/>
    <xf numFmtId="0" fontId="0" fillId="6" borderId="2" xfId="0" applyFill="1" applyBorder="1"/>
    <xf numFmtId="0" fontId="0" fillId="5" borderId="2" xfId="0" applyFill="1" applyBorder="1"/>
    <xf numFmtId="0" fontId="0" fillId="0" borderId="2" xfId="0" applyFill="1" applyBorder="1"/>
    <xf numFmtId="0" fontId="0" fillId="3" borderId="4" xfId="0" applyFill="1" applyBorder="1"/>
    <xf numFmtId="164" fontId="6" fillId="9" borderId="4" xfId="0" applyNumberFormat="1" applyFont="1" applyFill="1" applyBorder="1"/>
    <xf numFmtId="0" fontId="5" fillId="3" borderId="4" xfId="0" applyFont="1" applyFill="1" applyBorder="1"/>
    <xf numFmtId="0" fontId="5" fillId="3" borderId="4" xfId="0" applyFont="1" applyFill="1" applyBorder="1" applyAlignment="1">
      <alignment horizontal="center"/>
    </xf>
    <xf numFmtId="164" fontId="5" fillId="3" borderId="4" xfId="0" applyNumberFormat="1" applyFont="1" applyFill="1" applyBorder="1" applyAlignment="1">
      <alignment horizontal="center"/>
    </xf>
    <xf numFmtId="164" fontId="0" fillId="0" borderId="4" xfId="0" applyNumberForma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164" fontId="0" fillId="0" borderId="0" xfId="0" applyNumberFormat="1" applyBorder="1"/>
    <xf numFmtId="0" fontId="0" fillId="3" borderId="4" xfId="0" applyFill="1" applyBorder="1" applyAlignment="1">
      <alignment horizontal="left"/>
    </xf>
    <xf numFmtId="0" fontId="0" fillId="12" borderId="4" xfId="0" applyFill="1" applyBorder="1" applyAlignment="1">
      <alignment horizontal="left"/>
    </xf>
    <xf numFmtId="0" fontId="5" fillId="9" borderId="1" xfId="0" applyFont="1" applyFill="1" applyBorder="1" applyAlignment="1"/>
    <xf numFmtId="0" fontId="5" fillId="8" borderId="4" xfId="0" applyFont="1" applyFill="1" applyBorder="1" applyAlignment="1"/>
    <xf numFmtId="0" fontId="6" fillId="9" borderId="1" xfId="0" applyFont="1" applyFill="1" applyBorder="1"/>
    <xf numFmtId="164" fontId="6" fillId="5" borderId="4" xfId="0" applyNumberFormat="1" applyFont="1" applyFill="1" applyBorder="1"/>
    <xf numFmtId="0" fontId="0" fillId="0" borderId="0" xfId="0" applyBorder="1" applyAlignment="1">
      <alignment horizontal="center"/>
    </xf>
    <xf numFmtId="0" fontId="6" fillId="9" borderId="9" xfId="0" applyFont="1" applyFill="1" applyBorder="1"/>
    <xf numFmtId="164" fontId="6" fillId="9" borderId="7" xfId="0" applyNumberFormat="1" applyFont="1" applyFill="1" applyBorder="1"/>
    <xf numFmtId="0" fontId="6" fillId="0" borderId="0" xfId="0" applyFont="1"/>
    <xf numFmtId="165" fontId="6" fillId="9" borderId="7" xfId="0" applyNumberFormat="1" applyFont="1" applyFill="1" applyBorder="1"/>
    <xf numFmtId="0" fontId="5" fillId="13" borderId="4" xfId="0" applyFont="1" applyFill="1" applyBorder="1"/>
    <xf numFmtId="0" fontId="0" fillId="13" borderId="4" xfId="0" applyFill="1" applyBorder="1"/>
    <xf numFmtId="0" fontId="0" fillId="2" borderId="4" xfId="0" applyFill="1" applyBorder="1"/>
    <xf numFmtId="0" fontId="0" fillId="0" borderId="2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4" xfId="0" applyBorder="1" applyAlignment="1"/>
    <xf numFmtId="0" fontId="9" fillId="12" borderId="4" xfId="0" applyFont="1" applyFill="1" applyBorder="1"/>
    <xf numFmtId="0" fontId="10" fillId="12" borderId="4" xfId="0" applyFont="1" applyFill="1" applyBorder="1"/>
    <xf numFmtId="0" fontId="0" fillId="9" borderId="4" xfId="0" applyFill="1" applyBorder="1"/>
    <xf numFmtId="0" fontId="4" fillId="12" borderId="4" xfId="0" applyFont="1" applyFill="1" applyBorder="1"/>
    <xf numFmtId="164" fontId="1" fillId="12" borderId="4" xfId="0" applyNumberFormat="1" applyFont="1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165" fontId="0" fillId="3" borderId="4" xfId="0" applyNumberFormat="1" applyFill="1" applyBorder="1" applyAlignment="1">
      <alignment horizontal="center"/>
    </xf>
    <xf numFmtId="165" fontId="0" fillId="5" borderId="4" xfId="0" applyNumberFormat="1" applyFill="1" applyBorder="1" applyAlignment="1">
      <alignment horizontal="center"/>
    </xf>
    <xf numFmtId="165" fontId="0" fillId="6" borderId="4" xfId="0" applyNumberFormat="1" applyFill="1" applyBorder="1" applyAlignment="1">
      <alignment horizontal="center"/>
    </xf>
    <xf numFmtId="0" fontId="0" fillId="4" borderId="4" xfId="0" applyFill="1" applyBorder="1" applyAlignment="1">
      <alignment horizontal="center" vertical="center" wrapText="1"/>
    </xf>
    <xf numFmtId="0" fontId="1" fillId="12" borderId="4" xfId="0" applyFont="1" applyFill="1" applyBorder="1"/>
    <xf numFmtId="0" fontId="6" fillId="3" borderId="1" xfId="0" applyFont="1" applyFill="1" applyBorder="1"/>
    <xf numFmtId="164" fontId="6" fillId="3" borderId="4" xfId="0" applyNumberFormat="1" applyFont="1" applyFill="1" applyBorder="1"/>
    <xf numFmtId="0" fontId="6" fillId="3" borderId="1" xfId="0" applyFont="1" applyFill="1" applyBorder="1" applyAlignment="1">
      <alignment horizontal="left"/>
    </xf>
    <xf numFmtId="164" fontId="6" fillId="3" borderId="4" xfId="0" applyNumberFormat="1" applyFont="1" applyFill="1" applyBorder="1" applyAlignment="1">
      <alignment horizontal="left"/>
    </xf>
    <xf numFmtId="0" fontId="5" fillId="9" borderId="4" xfId="0" applyFont="1" applyFill="1" applyBorder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8" xfId="0" applyBorder="1" applyAlignment="1"/>
    <xf numFmtId="0" fontId="0" fillId="0" borderId="8" xfId="0" applyBorder="1"/>
    <xf numFmtId="0" fontId="0" fillId="14" borderId="4" xfId="0" applyFill="1" applyBorder="1"/>
    <xf numFmtId="165" fontId="6" fillId="9" borderId="7" xfId="0" applyNumberFormat="1" applyFont="1" applyFill="1" applyBorder="1" applyAlignment="1">
      <alignment horizontal="right"/>
    </xf>
    <xf numFmtId="0" fontId="0" fillId="0" borderId="0" xfId="0" applyFont="1" applyAlignment="1">
      <alignment horizontal="left"/>
    </xf>
    <xf numFmtId="0" fontId="6" fillId="14" borderId="4" xfId="0" applyFont="1" applyFill="1" applyBorder="1"/>
    <xf numFmtId="164" fontId="0" fillId="0" borderId="0" xfId="0" applyNumberFormat="1"/>
    <xf numFmtId="0" fontId="6" fillId="14" borderId="9" xfId="0" applyFont="1" applyFill="1" applyBorder="1"/>
    <xf numFmtId="165" fontId="6" fillId="14" borderId="7" xfId="0" applyNumberFormat="1" applyFont="1" applyFill="1" applyBorder="1"/>
    <xf numFmtId="165" fontId="6" fillId="14" borderId="4" xfId="0" applyNumberFormat="1" applyFont="1" applyFill="1" applyBorder="1"/>
    <xf numFmtId="2" fontId="6" fillId="14" borderId="4" xfId="0" applyNumberFormat="1" applyFont="1" applyFill="1" applyBorder="1"/>
    <xf numFmtId="0" fontId="3" fillId="12" borderId="4" xfId="0" applyFont="1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0" xfId="0" applyFont="1" applyFill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Fill="1" applyBorder="1" applyAlignment="1">
      <alignment vertical="center"/>
    </xf>
    <xf numFmtId="165" fontId="13" fillId="0" borderId="4" xfId="0" applyNumberFormat="1" applyFont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2" fontId="13" fillId="0" borderId="4" xfId="0" applyNumberFormat="1" applyFont="1" applyBorder="1" applyAlignment="1">
      <alignment horizontal="center" vertical="center"/>
    </xf>
    <xf numFmtId="2" fontId="0" fillId="4" borderId="4" xfId="0" applyNumberFormat="1" applyFill="1" applyBorder="1" applyAlignment="1">
      <alignment horizontal="center"/>
    </xf>
    <xf numFmtId="2" fontId="0" fillId="10" borderId="4" xfId="0" applyNumberFormat="1" applyFill="1" applyBorder="1" applyAlignment="1">
      <alignment horizontal="center"/>
    </xf>
    <xf numFmtId="2" fontId="0" fillId="5" borderId="4" xfId="0" applyNumberFormat="1" applyFill="1" applyBorder="1" applyAlignment="1">
      <alignment horizontal="center"/>
    </xf>
    <xf numFmtId="2" fontId="0" fillId="7" borderId="4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11" borderId="4" xfId="0" applyNumberFormat="1" applyFill="1" applyBorder="1" applyAlignment="1">
      <alignment horizontal="center"/>
    </xf>
    <xf numFmtId="2" fontId="0" fillId="10" borderId="7" xfId="0" applyNumberFormat="1" applyFill="1" applyBorder="1" applyAlignment="1">
      <alignment horizontal="center"/>
    </xf>
    <xf numFmtId="2" fontId="0" fillId="5" borderId="7" xfId="0" applyNumberFormat="1" applyFill="1" applyBorder="1" applyAlignment="1">
      <alignment horizontal="center"/>
    </xf>
    <xf numFmtId="2" fontId="0" fillId="12" borderId="4" xfId="0" applyNumberFormat="1" applyFill="1" applyBorder="1" applyAlignment="1">
      <alignment horizontal="center"/>
    </xf>
    <xf numFmtId="2" fontId="23" fillId="5" borderId="4" xfId="0" applyNumberFormat="1" applyFont="1" applyFill="1" applyBorder="1" applyAlignment="1">
      <alignment horizontal="center"/>
    </xf>
    <xf numFmtId="2" fontId="23" fillId="5" borderId="7" xfId="0" applyNumberFormat="1" applyFont="1" applyFill="1" applyBorder="1" applyAlignment="1">
      <alignment horizontal="center"/>
    </xf>
    <xf numFmtId="2" fontId="24" fillId="5" borderId="4" xfId="0" applyNumberFormat="1" applyFont="1" applyFill="1" applyBorder="1" applyAlignment="1">
      <alignment horizontal="center"/>
    </xf>
    <xf numFmtId="2" fontId="23" fillId="12" borderId="4" xfId="0" applyNumberFormat="1" applyFont="1" applyFill="1" applyBorder="1" applyAlignment="1">
      <alignment horizontal="center"/>
    </xf>
    <xf numFmtId="2" fontId="13" fillId="0" borderId="0" xfId="0" applyNumberFormat="1" applyFont="1" applyBorder="1" applyAlignment="1">
      <alignment horizontal="center" vertical="center"/>
    </xf>
    <xf numFmtId="0" fontId="0" fillId="12" borderId="4" xfId="0" applyFill="1" applyBorder="1"/>
    <xf numFmtId="165" fontId="0" fillId="0" borderId="4" xfId="0" applyNumberFormat="1" applyBorder="1"/>
    <xf numFmtId="0" fontId="23" fillId="0" borderId="4" xfId="0" applyFont="1" applyBorder="1"/>
    <xf numFmtId="0" fontId="13" fillId="3" borderId="2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center" vertical="center"/>
    </xf>
    <xf numFmtId="165" fontId="6" fillId="9" borderId="4" xfId="0" applyNumberFormat="1" applyFont="1" applyFill="1" applyBorder="1"/>
    <xf numFmtId="165" fontId="0" fillId="16" borderId="4" xfId="0" applyNumberFormat="1" applyFill="1" applyBorder="1" applyAlignment="1">
      <alignment horizontal="left"/>
    </xf>
    <xf numFmtId="2" fontId="0" fillId="0" borderId="4" xfId="0" applyNumberFormat="1" applyBorder="1"/>
    <xf numFmtId="164" fontId="6" fillId="9" borderId="4" xfId="0" applyNumberFormat="1" applyFont="1" applyFill="1" applyBorder="1" applyAlignment="1">
      <alignment horizontal="right"/>
    </xf>
    <xf numFmtId="164" fontId="13" fillId="0" borderId="4" xfId="0" applyNumberFormat="1" applyFont="1" applyBorder="1" applyAlignment="1">
      <alignment horizontal="center" vertical="center"/>
    </xf>
    <xf numFmtId="0" fontId="13" fillId="17" borderId="4" xfId="0" applyFont="1" applyFill="1" applyBorder="1" applyAlignment="1">
      <alignment horizontal="center" vertical="center"/>
    </xf>
    <xf numFmtId="0" fontId="13" fillId="17" borderId="4" xfId="0" applyFont="1" applyFill="1" applyBorder="1" applyAlignment="1">
      <alignment vertical="center"/>
    </xf>
    <xf numFmtId="0" fontId="13" fillId="17" borderId="4" xfId="0" applyFont="1" applyFill="1" applyBorder="1" applyAlignment="1">
      <alignment horizontal="left" vertical="center"/>
    </xf>
    <xf numFmtId="165" fontId="13" fillId="17" borderId="4" xfId="0" applyNumberFormat="1" applyFont="1" applyFill="1" applyBorder="1" applyAlignment="1">
      <alignment horizontal="center" vertical="center"/>
    </xf>
    <xf numFmtId="1" fontId="13" fillId="17" borderId="1" xfId="0" applyNumberFormat="1" applyFont="1" applyFill="1" applyBorder="1" applyAlignment="1">
      <alignment horizontal="center" vertical="center"/>
    </xf>
    <xf numFmtId="165" fontId="13" fillId="17" borderId="1" xfId="0" applyNumberFormat="1" applyFont="1" applyFill="1" applyBorder="1" applyAlignment="1">
      <alignment horizontal="center" vertical="center"/>
    </xf>
    <xf numFmtId="165" fontId="13" fillId="17" borderId="4" xfId="0" applyNumberFormat="1" applyFont="1" applyFill="1" applyBorder="1" applyAlignment="1">
      <alignment horizontal="center" vertical="center" wrapText="1"/>
    </xf>
    <xf numFmtId="2" fontId="13" fillId="17" borderId="4" xfId="0" applyNumberFormat="1" applyFont="1" applyFill="1" applyBorder="1" applyAlignment="1">
      <alignment horizontal="center" vertical="center"/>
    </xf>
    <xf numFmtId="164" fontId="13" fillId="17" borderId="4" xfId="0" applyNumberFormat="1" applyFont="1" applyFill="1" applyBorder="1" applyAlignment="1">
      <alignment horizontal="center" vertical="center"/>
    </xf>
    <xf numFmtId="165" fontId="13" fillId="17" borderId="4" xfId="0" applyNumberFormat="1" applyFont="1" applyFill="1" applyBorder="1" applyAlignment="1">
      <alignment vertical="center"/>
    </xf>
    <xf numFmtId="0" fontId="13" fillId="17" borderId="11" xfId="0" applyFont="1" applyFill="1" applyBorder="1" applyAlignment="1">
      <alignment vertical="center"/>
    </xf>
    <xf numFmtId="0" fontId="13" fillId="17" borderId="13" xfId="0" applyFont="1" applyFill="1" applyBorder="1" applyAlignment="1">
      <alignment vertical="center"/>
    </xf>
    <xf numFmtId="0" fontId="13" fillId="12" borderId="4" xfId="0" applyFont="1" applyFill="1" applyBorder="1" applyAlignment="1">
      <alignment vertical="center"/>
    </xf>
    <xf numFmtId="164" fontId="17" fillId="12" borderId="4" xfId="0" applyNumberFormat="1" applyFont="1" applyFill="1" applyBorder="1" applyAlignment="1">
      <alignment horizontal="center" vertical="center"/>
    </xf>
    <xf numFmtId="165" fontId="13" fillId="0" borderId="0" xfId="0" applyNumberFormat="1" applyFont="1" applyAlignment="1">
      <alignment vertical="center"/>
    </xf>
    <xf numFmtId="0" fontId="0" fillId="11" borderId="2" xfId="0" applyFill="1" applyBorder="1" applyAlignment="1">
      <alignment horizontal="center"/>
    </xf>
    <xf numFmtId="0" fontId="13" fillId="17" borderId="4" xfId="0" applyFont="1" applyFill="1" applyBorder="1" applyAlignment="1">
      <alignment horizontal="left" vertical="center"/>
    </xf>
    <xf numFmtId="0" fontId="13" fillId="5" borderId="4" xfId="0" applyFont="1" applyFill="1" applyBorder="1" applyAlignment="1" applyProtection="1">
      <alignment horizontal="left" vertical="center"/>
      <protection locked="0"/>
    </xf>
    <xf numFmtId="0" fontId="13" fillId="5" borderId="4" xfId="0" applyFont="1" applyFill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vertical="center"/>
      <protection locked="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12" borderId="1" xfId="0" applyFill="1" applyBorder="1" applyAlignment="1">
      <alignment horizontal="left"/>
    </xf>
    <xf numFmtId="0" fontId="0" fillId="12" borderId="3" xfId="0" applyFill="1" applyBorder="1" applyAlignment="1">
      <alignment horizontal="left"/>
    </xf>
    <xf numFmtId="0" fontId="0" fillId="12" borderId="2" xfId="0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7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27" fillId="0" borderId="4" xfId="0" applyFont="1" applyBorder="1" applyAlignment="1">
      <alignment horizontal="center" vertical="center"/>
    </xf>
    <xf numFmtId="0" fontId="13" fillId="15" borderId="4" xfId="0" applyFont="1" applyFill="1" applyBorder="1" applyAlignment="1" applyProtection="1">
      <alignment horizontal="center" vertical="center"/>
      <protection locked="0"/>
    </xf>
    <xf numFmtId="0" fontId="15" fillId="3" borderId="9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0" fontId="14" fillId="12" borderId="4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center" vertical="center"/>
    </xf>
    <xf numFmtId="0" fontId="15" fillId="11" borderId="2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14" borderId="4" xfId="0" applyFont="1" applyFill="1" applyBorder="1" applyAlignment="1">
      <alignment horizontal="center" vertical="center"/>
    </xf>
    <xf numFmtId="0" fontId="13" fillId="17" borderId="4" xfId="0" applyFont="1" applyFill="1" applyBorder="1" applyAlignment="1">
      <alignment horizontal="left" vertical="center"/>
    </xf>
    <xf numFmtId="0" fontId="13" fillId="17" borderId="1" xfId="0" applyFont="1" applyFill="1" applyBorder="1" applyAlignment="1">
      <alignment horizontal="center" vertical="center"/>
    </xf>
    <xf numFmtId="0" fontId="13" fillId="17" borderId="3" xfId="0" applyFont="1" applyFill="1" applyBorder="1" applyAlignment="1">
      <alignment horizontal="center" vertical="center"/>
    </xf>
    <xf numFmtId="0" fontId="13" fillId="17" borderId="2" xfId="0" applyFont="1" applyFill="1" applyBorder="1" applyAlignment="1">
      <alignment horizontal="center" vertical="center"/>
    </xf>
    <xf numFmtId="165" fontId="13" fillId="17" borderId="1" xfId="0" applyNumberFormat="1" applyFont="1" applyFill="1" applyBorder="1" applyAlignment="1">
      <alignment horizontal="center" vertical="center"/>
    </xf>
    <xf numFmtId="165" fontId="13" fillId="17" borderId="3" xfId="0" applyNumberFormat="1" applyFont="1" applyFill="1" applyBorder="1" applyAlignment="1">
      <alignment horizontal="center" vertical="center"/>
    </xf>
    <xf numFmtId="165" fontId="13" fillId="17" borderId="2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5" fillId="14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6" fillId="12" borderId="1" xfId="0" applyFont="1" applyFill="1" applyBorder="1" applyAlignment="1">
      <alignment horizontal="center" vertical="center"/>
    </xf>
    <xf numFmtId="0" fontId="16" fillId="12" borderId="3" xfId="0" applyFont="1" applyFill="1" applyBorder="1" applyAlignment="1">
      <alignment horizontal="center" vertical="center"/>
    </xf>
    <xf numFmtId="0" fontId="16" fillId="12" borderId="2" xfId="0" applyFont="1" applyFill="1" applyBorder="1" applyAlignment="1">
      <alignment horizontal="center" vertical="center"/>
    </xf>
    <xf numFmtId="0" fontId="13" fillId="17" borderId="1" xfId="0" applyFont="1" applyFill="1" applyBorder="1" applyAlignment="1">
      <alignment horizontal="left" vertical="center"/>
    </xf>
    <xf numFmtId="0" fontId="13" fillId="17" borderId="3" xfId="0" applyFont="1" applyFill="1" applyBorder="1" applyAlignment="1">
      <alignment horizontal="left" vertical="center"/>
    </xf>
    <xf numFmtId="0" fontId="13" fillId="17" borderId="2" xfId="0" applyFont="1" applyFill="1" applyBorder="1" applyAlignment="1">
      <alignment horizontal="left" vertical="center"/>
    </xf>
    <xf numFmtId="0" fontId="13" fillId="14" borderId="1" xfId="0" applyFont="1" applyFill="1" applyBorder="1" applyAlignment="1">
      <alignment horizontal="center" vertical="center"/>
    </xf>
    <xf numFmtId="0" fontId="19" fillId="17" borderId="9" xfId="0" applyFont="1" applyFill="1" applyBorder="1" applyAlignment="1">
      <alignment horizontal="center" vertical="center" wrapText="1"/>
    </xf>
    <xf numFmtId="0" fontId="19" fillId="17" borderId="15" xfId="0" applyFont="1" applyFill="1" applyBorder="1" applyAlignment="1">
      <alignment horizontal="center" vertical="center" wrapText="1"/>
    </xf>
    <xf numFmtId="0" fontId="19" fillId="17" borderId="5" xfId="0" applyFont="1" applyFill="1" applyBorder="1" applyAlignment="1">
      <alignment horizontal="center" vertical="center" wrapText="1"/>
    </xf>
    <xf numFmtId="0" fontId="19" fillId="17" borderId="10" xfId="0" applyFont="1" applyFill="1" applyBorder="1" applyAlignment="1">
      <alignment horizontal="center" vertical="center" wrapText="1"/>
    </xf>
    <xf numFmtId="2" fontId="20" fillId="17" borderId="5" xfId="0" applyNumberFormat="1" applyFont="1" applyFill="1" applyBorder="1" applyAlignment="1">
      <alignment horizontal="center" vertical="center"/>
    </xf>
    <xf numFmtId="2" fontId="20" fillId="17" borderId="10" xfId="0" applyNumberFormat="1" applyFont="1" applyFill="1" applyBorder="1" applyAlignment="1">
      <alignment horizontal="center" vertical="center"/>
    </xf>
    <xf numFmtId="0" fontId="13" fillId="17" borderId="4" xfId="0" applyFont="1" applyFill="1" applyBorder="1" applyAlignment="1">
      <alignment horizontal="center" vertical="center"/>
    </xf>
    <xf numFmtId="0" fontId="13" fillId="17" borderId="5" xfId="0" applyFont="1" applyFill="1" applyBorder="1" applyAlignment="1">
      <alignment horizontal="center" vertical="center" wrapText="1"/>
    </xf>
    <xf numFmtId="0" fontId="13" fillId="17" borderId="0" xfId="0" applyFont="1" applyFill="1" applyBorder="1" applyAlignment="1">
      <alignment horizontal="center" vertical="center" wrapText="1"/>
    </xf>
    <xf numFmtId="0" fontId="13" fillId="17" borderId="10" xfId="0" applyFont="1" applyFill="1" applyBorder="1" applyAlignment="1">
      <alignment horizontal="center" vertical="center" wrapText="1"/>
    </xf>
    <xf numFmtId="0" fontId="13" fillId="17" borderId="11" xfId="0" applyFont="1" applyFill="1" applyBorder="1" applyAlignment="1">
      <alignment horizontal="center" vertical="center" wrapText="1"/>
    </xf>
    <xf numFmtId="0" fontId="13" fillId="17" borderId="12" xfId="0" applyFont="1" applyFill="1" applyBorder="1" applyAlignment="1">
      <alignment horizontal="center" vertical="center" wrapText="1"/>
    </xf>
    <xf numFmtId="0" fontId="13" fillId="17" borderId="13" xfId="0" applyFont="1" applyFill="1" applyBorder="1" applyAlignment="1">
      <alignment horizontal="center" vertical="center" wrapText="1"/>
    </xf>
    <xf numFmtId="0" fontId="13" fillId="12" borderId="4" xfId="0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/>
    </xf>
    <xf numFmtId="0" fontId="13" fillId="14" borderId="2" xfId="0" applyFont="1" applyFill="1" applyBorder="1" applyAlignment="1">
      <alignment horizontal="center" vertical="center"/>
    </xf>
    <xf numFmtId="0" fontId="18" fillId="14" borderId="4" xfId="0" applyFont="1" applyFill="1" applyBorder="1" applyAlignment="1">
      <alignment horizontal="center" vertical="center"/>
    </xf>
    <xf numFmtId="0" fontId="18" fillId="14" borderId="7" xfId="0" applyFont="1" applyFill="1" applyBorder="1" applyAlignment="1">
      <alignment horizontal="center" vertical="center"/>
    </xf>
    <xf numFmtId="0" fontId="13" fillId="17" borderId="4" xfId="0" applyFont="1" applyFill="1" applyBorder="1" applyAlignment="1">
      <alignment horizontal="center" vertical="center" wrapText="1"/>
    </xf>
    <xf numFmtId="0" fontId="21" fillId="17" borderId="5" xfId="0" applyFont="1" applyFill="1" applyBorder="1" applyAlignment="1">
      <alignment horizontal="left" vertical="center"/>
    </xf>
    <xf numFmtId="0" fontId="21" fillId="17" borderId="10" xfId="0" applyFont="1" applyFill="1" applyBorder="1" applyAlignment="1">
      <alignment horizontal="left" vertical="center"/>
    </xf>
    <xf numFmtId="2" fontId="22" fillId="17" borderId="5" xfId="0" applyNumberFormat="1" applyFont="1" applyFill="1" applyBorder="1" applyAlignment="1">
      <alignment horizontal="center" vertical="center"/>
    </xf>
    <xf numFmtId="2" fontId="22" fillId="17" borderId="10" xfId="0" applyNumberFormat="1" applyFont="1" applyFill="1" applyBorder="1" applyAlignment="1">
      <alignment horizontal="center" vertical="center"/>
    </xf>
    <xf numFmtId="0" fontId="13" fillId="17" borderId="9" xfId="0" applyFont="1" applyFill="1" applyBorder="1" applyAlignment="1">
      <alignment horizontal="center" vertical="center" wrapText="1"/>
    </xf>
    <xf numFmtId="0" fontId="13" fillId="17" borderId="14" xfId="0" applyFont="1" applyFill="1" applyBorder="1" applyAlignment="1">
      <alignment horizontal="center" vertical="center" wrapText="1"/>
    </xf>
    <xf numFmtId="0" fontId="13" fillId="17" borderId="1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</cellXfs>
  <cellStyles count="1">
    <cellStyle name="Обычный" xfId="0" builtinId="0"/>
  </cellStyles>
  <dxfs count="3">
    <dxf>
      <fill>
        <patternFill>
          <bgColor rgb="FFFC1C04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C1C04"/>
      <color rgb="FFF96F07"/>
      <color rgb="FFC4763C"/>
      <color rgb="FFB5554B"/>
      <color rgb="FFFF6600"/>
      <color rgb="FFC3E7B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ru-RU" sz="1400"/>
              <a:t>Заполнение заторной емкости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spPr>
            <a:ln w="28575">
              <a:noFill/>
            </a:ln>
          </c:spPr>
          <c:dLbls>
            <c:txPr>
              <a:bodyPr/>
              <a:lstStyle/>
              <a:p>
                <a:pPr>
                  <a:defRPr sz="1400"/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главная_страница!$B$24:$B$25</c:f>
              <c:strCache>
                <c:ptCount val="2"/>
                <c:pt idx="0">
                  <c:v>полный объем емкости</c:v>
                </c:pt>
                <c:pt idx="1">
                  <c:v>сколько литров запаса оставили (под пену)</c:v>
                </c:pt>
              </c:strCache>
            </c:strRef>
          </c:cat>
          <c:val>
            <c:numRef>
              <c:f>главная_страница!$C$24:$C$25</c:f>
              <c:numCache>
                <c:formatCode>0.0</c:formatCode>
                <c:ptCount val="2"/>
                <c:pt idx="0">
                  <c:v>6.7226890756302522</c:v>
                </c:pt>
                <c:pt idx="1">
                  <c:v>1.0084033613445378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ru-RU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21</xdr:row>
      <xdr:rowOff>51860</xdr:rowOff>
    </xdr:from>
    <xdr:to>
      <xdr:col>3</xdr:col>
      <xdr:colOff>1608666</xdr:colOff>
      <xdr:row>29</xdr:row>
      <xdr:rowOff>211668</xdr:rowOff>
    </xdr:to>
    <xdr:graphicFrame macro="">
      <xdr:nvGraphicFramePr>
        <xdr:cNvPr id="18" name="Диаграмма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P66"/>
  <sheetViews>
    <sheetView topLeftCell="H7" workbookViewId="0">
      <selection activeCell="P14" sqref="P14"/>
    </sheetView>
  </sheetViews>
  <sheetFormatPr defaultRowHeight="15" x14ac:dyDescent="0.25"/>
  <cols>
    <col min="1" max="1" width="28.28515625" customWidth="1"/>
    <col min="2" max="2" width="18.140625" customWidth="1"/>
    <col min="3" max="3" width="13.28515625" customWidth="1"/>
    <col min="4" max="4" width="11.5703125" customWidth="1"/>
    <col min="5" max="5" width="21" customWidth="1"/>
    <col min="6" max="6" width="16.5703125" customWidth="1"/>
    <col min="7" max="7" width="15" customWidth="1"/>
    <col min="8" max="8" width="15.7109375" customWidth="1"/>
    <col min="9" max="9" width="15.28515625" customWidth="1"/>
    <col min="10" max="11" width="15.42578125" customWidth="1"/>
    <col min="12" max="12" width="19" customWidth="1"/>
    <col min="13" max="13" width="12.140625" customWidth="1"/>
    <col min="14" max="14" width="38.28515625" customWidth="1"/>
    <col min="15" max="15" width="14.85546875" customWidth="1"/>
    <col min="16" max="16" width="31" customWidth="1"/>
  </cols>
  <sheetData>
    <row r="2" spans="1:15" x14ac:dyDescent="0.25">
      <c r="A2" s="147" t="s">
        <v>79</v>
      </c>
      <c r="B2" s="147"/>
      <c r="C2" s="147"/>
      <c r="D2" s="1">
        <v>0.68200000000000005</v>
      </c>
      <c r="F2" s="164" t="s">
        <v>100</v>
      </c>
      <c r="G2" s="165"/>
      <c r="H2" s="165"/>
      <c r="I2" s="165"/>
      <c r="J2" s="165"/>
      <c r="L2" s="166" t="s">
        <v>2</v>
      </c>
      <c r="M2" s="167"/>
      <c r="N2" s="167"/>
      <c r="O2" s="168"/>
    </row>
    <row r="3" spans="1:15" x14ac:dyDescent="0.25">
      <c r="A3" s="147" t="s">
        <v>80</v>
      </c>
      <c r="B3" s="147"/>
      <c r="C3" s="147"/>
      <c r="D3" s="1">
        <v>0.79800000000000004</v>
      </c>
      <c r="F3" s="177" t="s">
        <v>106</v>
      </c>
      <c r="G3" s="174" t="s">
        <v>105</v>
      </c>
      <c r="H3" s="174" t="s">
        <v>107</v>
      </c>
      <c r="I3" s="162" t="s">
        <v>108</v>
      </c>
      <c r="J3" s="162" t="s">
        <v>241</v>
      </c>
      <c r="L3" s="169" t="s">
        <v>141</v>
      </c>
      <c r="M3" s="171" t="s">
        <v>146</v>
      </c>
      <c r="N3" s="172"/>
      <c r="O3" s="173"/>
    </row>
    <row r="4" spans="1:15" ht="30" customHeight="1" x14ac:dyDescent="0.25">
      <c r="A4" s="147" t="s">
        <v>77</v>
      </c>
      <c r="B4" s="147"/>
      <c r="C4" s="147"/>
      <c r="D4" s="35">
        <f>D3/D2</f>
        <v>1.1700879765395895</v>
      </c>
      <c r="F4" s="177"/>
      <c r="G4" s="174"/>
      <c r="H4" s="174"/>
      <c r="I4" s="163"/>
      <c r="J4" s="163"/>
      <c r="L4" s="170"/>
      <c r="M4" s="65" t="s">
        <v>142</v>
      </c>
      <c r="N4" s="65" t="s">
        <v>143</v>
      </c>
      <c r="O4" s="65" t="s">
        <v>144</v>
      </c>
    </row>
    <row r="5" spans="1:15" ht="15.75" x14ac:dyDescent="0.25">
      <c r="A5" s="147" t="s">
        <v>78</v>
      </c>
      <c r="B5" s="147"/>
      <c r="C5" s="147"/>
      <c r="D5" s="35">
        <f>D2/D3</f>
        <v>0.85463659147869675</v>
      </c>
      <c r="F5" s="1" t="s">
        <v>101</v>
      </c>
      <c r="G5" s="1">
        <v>1500</v>
      </c>
      <c r="H5" s="1">
        <v>2</v>
      </c>
      <c r="I5" s="1">
        <v>1.3</v>
      </c>
      <c r="J5" s="1">
        <v>1.7849999999999999</v>
      </c>
      <c r="L5" s="56" t="s">
        <v>3</v>
      </c>
      <c r="M5" s="62">
        <v>5</v>
      </c>
      <c r="N5" s="63">
        <v>3.9</v>
      </c>
      <c r="O5" s="64">
        <v>2.8</v>
      </c>
    </row>
    <row r="6" spans="1:15" ht="15.75" x14ac:dyDescent="0.25">
      <c r="A6" s="36"/>
      <c r="B6" s="36"/>
      <c r="C6" s="37"/>
      <c r="D6" s="38"/>
      <c r="F6" s="1" t="s">
        <v>102</v>
      </c>
      <c r="G6" s="1">
        <v>3000</v>
      </c>
      <c r="H6" s="1">
        <v>6.2</v>
      </c>
      <c r="I6" s="1">
        <v>2.1</v>
      </c>
      <c r="J6" s="1">
        <v>1.851</v>
      </c>
      <c r="L6" s="56" t="s">
        <v>4</v>
      </c>
      <c r="M6" s="62">
        <v>3.5</v>
      </c>
      <c r="N6" s="63">
        <v>2.6</v>
      </c>
      <c r="O6" s="64">
        <v>1.75</v>
      </c>
    </row>
    <row r="7" spans="1:15" ht="15.75" x14ac:dyDescent="0.25">
      <c r="A7" s="157" t="s">
        <v>134</v>
      </c>
      <c r="B7" s="157"/>
      <c r="C7" s="157"/>
      <c r="D7" s="38"/>
      <c r="F7" s="1" t="s">
        <v>103</v>
      </c>
      <c r="G7" s="1">
        <v>120</v>
      </c>
      <c r="H7" s="1">
        <v>0.5</v>
      </c>
      <c r="I7" s="1">
        <v>4.2</v>
      </c>
      <c r="J7" s="1">
        <v>1.47</v>
      </c>
      <c r="L7" s="56" t="s">
        <v>42</v>
      </c>
      <c r="M7" s="62">
        <v>3.5</v>
      </c>
      <c r="N7" s="63">
        <v>2.6</v>
      </c>
      <c r="O7" s="64">
        <v>1.75</v>
      </c>
    </row>
    <row r="8" spans="1:15" ht="15.75" x14ac:dyDescent="0.25">
      <c r="A8" s="148" t="s">
        <v>89</v>
      </c>
      <c r="B8" s="149"/>
      <c r="C8" s="150"/>
      <c r="D8" s="38"/>
      <c r="F8" s="1" t="s">
        <v>104</v>
      </c>
      <c r="G8" s="1">
        <v>2000</v>
      </c>
      <c r="H8" s="1">
        <v>15</v>
      </c>
      <c r="I8" s="1">
        <v>7.5</v>
      </c>
      <c r="J8" s="115">
        <v>1.47</v>
      </c>
      <c r="L8" s="57" t="s">
        <v>138</v>
      </c>
      <c r="M8" s="62">
        <v>1</v>
      </c>
      <c r="N8" s="63">
        <v>0.75</v>
      </c>
      <c r="O8" s="64">
        <v>0.5</v>
      </c>
    </row>
    <row r="9" spans="1:15" ht="15.75" x14ac:dyDescent="0.25">
      <c r="A9" s="151" t="s">
        <v>83</v>
      </c>
      <c r="B9" s="152"/>
      <c r="C9" s="120">
        <f>расчеты!B43</f>
        <v>0</v>
      </c>
      <c r="D9" s="38"/>
      <c r="L9" s="57" t="s">
        <v>139</v>
      </c>
      <c r="M9" s="62">
        <v>1</v>
      </c>
      <c r="N9" s="63">
        <v>0.75</v>
      </c>
      <c r="O9" s="64">
        <v>0</v>
      </c>
    </row>
    <row r="10" spans="1:15" ht="15.75" x14ac:dyDescent="0.25">
      <c r="A10" s="151" t="s">
        <v>84</v>
      </c>
      <c r="B10" s="152"/>
      <c r="C10" s="17">
        <v>5.5</v>
      </c>
      <c r="D10" s="38"/>
      <c r="E10" s="30" t="s">
        <v>260</v>
      </c>
      <c r="F10" s="159" t="s">
        <v>130</v>
      </c>
      <c r="G10" s="159"/>
      <c r="H10" s="159" t="s">
        <v>247</v>
      </c>
      <c r="I10" s="159"/>
      <c r="J10" s="175" t="s">
        <v>135</v>
      </c>
      <c r="K10" s="176"/>
      <c r="L10" s="57" t="s">
        <v>140</v>
      </c>
      <c r="M10" s="62">
        <v>2.5</v>
      </c>
      <c r="N10" s="63">
        <v>2</v>
      </c>
      <c r="O10" s="64">
        <v>1.5</v>
      </c>
    </row>
    <row r="11" spans="1:15" x14ac:dyDescent="0.25">
      <c r="A11" s="153" t="s">
        <v>85</v>
      </c>
      <c r="B11" s="154"/>
      <c r="C11" s="17">
        <v>1</v>
      </c>
      <c r="D11" s="38"/>
      <c r="E11" s="121">
        <f>IF(расчеты!$B$46="сахар",1*$H11,$H11/$J$15)</f>
        <v>4</v>
      </c>
      <c r="F11" s="160" t="s">
        <v>23</v>
      </c>
      <c r="G11" s="161"/>
      <c r="H11" s="158">
        <v>4</v>
      </c>
      <c r="I11" s="158"/>
      <c r="J11" s="144">
        <v>12</v>
      </c>
      <c r="K11" s="145"/>
      <c r="L11" s="158" t="s">
        <v>156</v>
      </c>
      <c r="M11" s="158"/>
      <c r="N11" s="158"/>
      <c r="O11" s="158"/>
    </row>
    <row r="12" spans="1:15" x14ac:dyDescent="0.25">
      <c r="A12" s="155" t="s">
        <v>86</v>
      </c>
      <c r="B12" s="156"/>
      <c r="C12" s="39">
        <f>SUM(C9:C11)</f>
        <v>6.5</v>
      </c>
      <c r="D12" s="38"/>
      <c r="E12" s="121">
        <f>IF(расчеты!$B$46="сахар",1*$H12,$H12/$J$15)</f>
        <v>20</v>
      </c>
      <c r="F12" s="160" t="s">
        <v>24</v>
      </c>
      <c r="G12" s="161"/>
      <c r="H12" s="158">
        <v>20</v>
      </c>
      <c r="I12" s="158"/>
      <c r="J12" s="144">
        <v>12</v>
      </c>
      <c r="K12" s="145"/>
      <c r="L12" s="158" t="s">
        <v>157</v>
      </c>
      <c r="M12" s="158"/>
      <c r="N12" s="158"/>
      <c r="O12" s="55">
        <v>1</v>
      </c>
    </row>
    <row r="13" spans="1:15" x14ac:dyDescent="0.25">
      <c r="A13" s="148" t="s">
        <v>87</v>
      </c>
      <c r="B13" s="150"/>
      <c r="C13" s="40">
        <v>5</v>
      </c>
      <c r="D13" s="38"/>
      <c r="E13" s="121">
        <f>H13</f>
        <v>0.2</v>
      </c>
      <c r="F13" s="160" t="s">
        <v>43</v>
      </c>
      <c r="G13" s="161"/>
      <c r="H13" s="158">
        <v>0.2</v>
      </c>
      <c r="I13" s="158"/>
      <c r="J13" s="144">
        <v>18</v>
      </c>
      <c r="K13" s="145"/>
      <c r="L13" s="72"/>
      <c r="M13" s="73"/>
      <c r="N13" s="74"/>
      <c r="O13" s="75"/>
    </row>
    <row r="14" spans="1:15" x14ac:dyDescent="0.25">
      <c r="A14" s="155" t="s">
        <v>88</v>
      </c>
      <c r="B14" s="156"/>
      <c r="C14" s="39">
        <f>SUM(C12:C13)</f>
        <v>11.5</v>
      </c>
      <c r="D14" s="38"/>
      <c r="E14" s="121">
        <f>H14</f>
        <v>2</v>
      </c>
      <c r="F14" s="160" t="s">
        <v>44</v>
      </c>
      <c r="G14" s="161"/>
      <c r="H14" s="158">
        <v>2</v>
      </c>
      <c r="I14" s="158"/>
      <c r="J14" s="144">
        <v>20</v>
      </c>
      <c r="K14" s="145"/>
      <c r="L14" s="45"/>
      <c r="M14" s="45"/>
      <c r="N14" s="45"/>
    </row>
    <row r="15" spans="1:15" x14ac:dyDescent="0.25">
      <c r="A15" s="155" t="s">
        <v>211</v>
      </c>
      <c r="B15" s="156"/>
      <c r="C15" s="39">
        <v>5</v>
      </c>
      <c r="D15" s="38"/>
      <c r="F15" s="1" t="s">
        <v>245</v>
      </c>
      <c r="G15" s="1">
        <v>4.5199999999999996</v>
      </c>
      <c r="H15" s="1" t="s">
        <v>258</v>
      </c>
      <c r="I15" s="1"/>
      <c r="J15" s="1">
        <v>3</v>
      </c>
    </row>
    <row r="16" spans="1:15" x14ac:dyDescent="0.25">
      <c r="A16">
        <v>1</v>
      </c>
      <c r="B16">
        <v>2</v>
      </c>
      <c r="C16">
        <v>3</v>
      </c>
      <c r="D16">
        <v>4</v>
      </c>
      <c r="E16">
        <v>5</v>
      </c>
      <c r="F16">
        <v>6</v>
      </c>
      <c r="G16">
        <v>7</v>
      </c>
      <c r="H16">
        <v>8</v>
      </c>
      <c r="I16">
        <v>9</v>
      </c>
      <c r="J16">
        <v>10</v>
      </c>
      <c r="K16">
        <v>11</v>
      </c>
      <c r="L16">
        <v>12</v>
      </c>
    </row>
    <row r="17" spans="1:16" ht="84" customHeight="1" x14ac:dyDescent="0.25">
      <c r="A17" s="86" t="s">
        <v>0</v>
      </c>
      <c r="B17" s="86" t="s">
        <v>29</v>
      </c>
      <c r="C17" s="87" t="s">
        <v>62</v>
      </c>
      <c r="D17" s="87" t="s">
        <v>63</v>
      </c>
      <c r="E17" s="87" t="s">
        <v>64</v>
      </c>
      <c r="F17" s="87" t="s">
        <v>81</v>
      </c>
      <c r="G17" s="87" t="s">
        <v>5</v>
      </c>
      <c r="H17" s="87" t="s">
        <v>65</v>
      </c>
      <c r="I17" s="87" t="s">
        <v>66</v>
      </c>
      <c r="J17" s="87" t="s">
        <v>67</v>
      </c>
      <c r="K17" s="88" t="s">
        <v>137</v>
      </c>
      <c r="L17" s="88" t="s">
        <v>151</v>
      </c>
      <c r="M17" s="25"/>
      <c r="N17" s="26" t="s">
        <v>16</v>
      </c>
      <c r="O17" s="146" t="s">
        <v>25</v>
      </c>
      <c r="P17" s="146"/>
    </row>
    <row r="18" spans="1:16" ht="17.25" x14ac:dyDescent="0.4">
      <c r="A18" s="6" t="s">
        <v>7</v>
      </c>
      <c r="B18" s="21">
        <v>0</v>
      </c>
      <c r="C18" s="99">
        <v>1.4</v>
      </c>
      <c r="D18" s="100">
        <v>0</v>
      </c>
      <c r="E18" s="99"/>
      <c r="F18" s="99"/>
      <c r="G18" s="99"/>
      <c r="H18" s="99"/>
      <c r="I18" s="99"/>
      <c r="J18" s="99"/>
      <c r="K18" s="53">
        <v>1.5</v>
      </c>
      <c r="L18" s="53"/>
      <c r="M18" s="1"/>
      <c r="N18" s="27" t="s">
        <v>20</v>
      </c>
      <c r="O18" s="1" t="s">
        <v>26</v>
      </c>
      <c r="P18" s="1">
        <v>1.4</v>
      </c>
    </row>
    <row r="19" spans="1:16" ht="17.25" x14ac:dyDescent="0.4">
      <c r="A19" s="7" t="s">
        <v>30</v>
      </c>
      <c r="B19" s="22">
        <f>D19/100*B21</f>
        <v>0.55859999999999999</v>
      </c>
      <c r="C19" s="101">
        <v>1.4</v>
      </c>
      <c r="D19" s="100">
        <f>главная_страница!C18</f>
        <v>70</v>
      </c>
      <c r="E19" s="101">
        <f>главная_страница!C19</f>
        <v>12</v>
      </c>
      <c r="F19" s="101"/>
      <c r="G19" s="101"/>
      <c r="H19" s="101">
        <f>главная_страница!C21</f>
        <v>3</v>
      </c>
      <c r="I19" s="101">
        <f>главная_страница!C20</f>
        <v>3</v>
      </c>
      <c r="J19" s="101"/>
      <c r="K19" s="53">
        <v>2</v>
      </c>
      <c r="L19" s="53"/>
      <c r="M19" s="1"/>
      <c r="N19" s="3" t="s">
        <v>17</v>
      </c>
      <c r="O19" s="1" t="s">
        <v>27</v>
      </c>
      <c r="P19" s="1">
        <v>1.6</v>
      </c>
    </row>
    <row r="20" spans="1:16" ht="17.25" x14ac:dyDescent="0.4">
      <c r="A20" s="8" t="s">
        <v>26</v>
      </c>
      <c r="B20" s="23">
        <f>D2</f>
        <v>0.68200000000000005</v>
      </c>
      <c r="C20" s="102">
        <v>1.4</v>
      </c>
      <c r="D20" s="100">
        <v>0</v>
      </c>
      <c r="E20" s="102">
        <v>0</v>
      </c>
      <c r="F20" s="102">
        <v>0</v>
      </c>
      <c r="G20" s="102">
        <v>0</v>
      </c>
      <c r="H20" s="102">
        <v>100</v>
      </c>
      <c r="I20" s="102">
        <v>0</v>
      </c>
      <c r="J20" s="102">
        <v>0</v>
      </c>
      <c r="K20" s="53">
        <v>1.5</v>
      </c>
      <c r="L20" s="53"/>
      <c r="M20" s="1"/>
      <c r="N20" s="3" t="s">
        <v>18</v>
      </c>
      <c r="O20" s="1" t="s">
        <v>28</v>
      </c>
      <c r="P20" s="1">
        <v>1.6</v>
      </c>
    </row>
    <row r="21" spans="1:16" ht="17.25" x14ac:dyDescent="0.4">
      <c r="A21" s="9" t="s">
        <v>31</v>
      </c>
      <c r="B21" s="23">
        <f>D3</f>
        <v>0.79800000000000004</v>
      </c>
      <c r="C21" s="102">
        <v>1.4</v>
      </c>
      <c r="D21" s="100">
        <v>100</v>
      </c>
      <c r="E21" s="102"/>
      <c r="F21" s="102"/>
      <c r="G21" s="102"/>
      <c r="H21" s="102"/>
      <c r="I21" s="102"/>
      <c r="J21" s="102"/>
      <c r="K21" s="53">
        <v>2</v>
      </c>
      <c r="L21" s="53"/>
      <c r="M21" s="1"/>
      <c r="N21" s="3" t="s">
        <v>10</v>
      </c>
      <c r="O21" s="2"/>
    </row>
    <row r="22" spans="1:16" ht="17.25" x14ac:dyDescent="0.4">
      <c r="A22" s="10" t="s">
        <v>6</v>
      </c>
      <c r="B22" s="24">
        <f>($D22/100*1.17+$H22/100)*$B$20</f>
        <v>0.54954878000000007</v>
      </c>
      <c r="C22" s="103">
        <v>1.6</v>
      </c>
      <c r="D22" s="100">
        <v>68.7</v>
      </c>
      <c r="E22" s="103">
        <v>10.3</v>
      </c>
      <c r="F22" s="103">
        <v>2</v>
      </c>
      <c r="G22" s="103">
        <v>1.1000000000000001</v>
      </c>
      <c r="H22" s="103">
        <v>0.2</v>
      </c>
      <c r="I22" s="103">
        <v>0.1</v>
      </c>
      <c r="J22" s="103">
        <v>0.55000000000000004</v>
      </c>
      <c r="K22" s="53">
        <v>3</v>
      </c>
      <c r="L22" s="53"/>
      <c r="M22" s="1"/>
      <c r="N22" s="3" t="s">
        <v>19</v>
      </c>
      <c r="O22" s="2"/>
    </row>
    <row r="23" spans="1:16" ht="17.25" x14ac:dyDescent="0.4">
      <c r="A23" s="10" t="s">
        <v>32</v>
      </c>
      <c r="B23" s="24">
        <f t="shared" ref="B23:B41" si="0">($D23/100*1.17+$H23/100)*$B$20</f>
        <v>0.53882773999999989</v>
      </c>
      <c r="C23" s="103">
        <v>1.6</v>
      </c>
      <c r="D23" s="100">
        <v>67.099999999999994</v>
      </c>
      <c r="E23" s="103">
        <v>10.6</v>
      </c>
      <c r="F23" s="103">
        <v>2.5</v>
      </c>
      <c r="G23" s="103">
        <v>1.3</v>
      </c>
      <c r="H23" s="103">
        <v>0.5</v>
      </c>
      <c r="I23" s="103">
        <v>0.3</v>
      </c>
      <c r="J23" s="103">
        <v>0.75</v>
      </c>
      <c r="K23" s="53">
        <v>3</v>
      </c>
      <c r="L23" s="53"/>
      <c r="M23" s="1"/>
      <c r="N23" s="27" t="s">
        <v>21</v>
      </c>
      <c r="O23" s="2"/>
    </row>
    <row r="24" spans="1:16" ht="17.25" x14ac:dyDescent="0.4">
      <c r="A24" s="10" t="s">
        <v>8</v>
      </c>
      <c r="B24" s="24">
        <f t="shared" si="0"/>
        <v>0.50724431999999997</v>
      </c>
      <c r="C24" s="103">
        <v>1.6</v>
      </c>
      <c r="D24" s="100">
        <v>62.8</v>
      </c>
      <c r="E24" s="103">
        <v>11.7</v>
      </c>
      <c r="F24" s="103">
        <v>3.5</v>
      </c>
      <c r="G24" s="103">
        <v>1.8</v>
      </c>
      <c r="H24" s="103">
        <v>0.9</v>
      </c>
      <c r="I24" s="103">
        <v>0.8</v>
      </c>
      <c r="J24" s="103">
        <v>1.25</v>
      </c>
      <c r="K24" s="53">
        <v>3</v>
      </c>
      <c r="L24" s="53"/>
      <c r="M24" s="1"/>
      <c r="N24" s="28" t="s">
        <v>14</v>
      </c>
      <c r="O24" s="2"/>
    </row>
    <row r="25" spans="1:16" ht="17.25" x14ac:dyDescent="0.4">
      <c r="A25" s="10" t="s">
        <v>33</v>
      </c>
      <c r="B25" s="24">
        <f t="shared" si="0"/>
        <v>0.45207051999999998</v>
      </c>
      <c r="C25" s="103">
        <v>1.6</v>
      </c>
      <c r="D25" s="100">
        <v>55.8</v>
      </c>
      <c r="E25" s="103">
        <v>11.5</v>
      </c>
      <c r="F25" s="103">
        <v>7.2</v>
      </c>
      <c r="G25" s="103">
        <v>2.1</v>
      </c>
      <c r="H25" s="103">
        <v>1</v>
      </c>
      <c r="I25" s="103">
        <v>2.2999999999999998</v>
      </c>
      <c r="J25" s="103">
        <v>1.9</v>
      </c>
      <c r="K25" s="53">
        <v>3</v>
      </c>
      <c r="L25" s="53"/>
      <c r="M25" s="1"/>
      <c r="N25" s="29" t="s">
        <v>45</v>
      </c>
    </row>
    <row r="26" spans="1:16" ht="17.25" x14ac:dyDescent="0.4">
      <c r="A26" s="20" t="s">
        <v>34</v>
      </c>
      <c r="B26" s="24">
        <f t="shared" si="0"/>
        <v>0.51226384000000003</v>
      </c>
      <c r="C26" s="104">
        <v>1.6</v>
      </c>
      <c r="D26" s="100">
        <v>63.6</v>
      </c>
      <c r="E26" s="104">
        <v>6.9</v>
      </c>
      <c r="F26" s="104">
        <v>4.5</v>
      </c>
      <c r="G26" s="104">
        <v>1.4</v>
      </c>
      <c r="H26" s="104">
        <v>0.7</v>
      </c>
      <c r="I26" s="104">
        <v>0.4</v>
      </c>
      <c r="J26" s="104">
        <v>0.75</v>
      </c>
      <c r="K26" s="139">
        <v>6</v>
      </c>
      <c r="L26" s="139"/>
      <c r="M26" s="1"/>
      <c r="N26" s="29" t="s">
        <v>46</v>
      </c>
    </row>
    <row r="27" spans="1:16" ht="17.25" x14ac:dyDescent="0.4">
      <c r="A27" s="20" t="s">
        <v>35</v>
      </c>
      <c r="B27" s="24">
        <f t="shared" si="0"/>
        <v>0.47931641999999997</v>
      </c>
      <c r="C27" s="104">
        <v>1.6</v>
      </c>
      <c r="D27" s="100">
        <v>59.3</v>
      </c>
      <c r="E27" s="104">
        <v>8.9</v>
      </c>
      <c r="F27" s="104">
        <v>6</v>
      </c>
      <c r="G27" s="104">
        <v>1.7</v>
      </c>
      <c r="H27" s="104">
        <v>0.9</v>
      </c>
      <c r="I27" s="104">
        <v>1.3</v>
      </c>
      <c r="J27" s="104">
        <v>1.45</v>
      </c>
      <c r="K27" s="139">
        <v>6</v>
      </c>
      <c r="L27" s="139"/>
      <c r="M27" s="1"/>
      <c r="N27" s="28" t="s">
        <v>15</v>
      </c>
    </row>
    <row r="28" spans="1:16" ht="17.25" x14ac:dyDescent="0.4">
      <c r="A28" s="20" t="s">
        <v>9</v>
      </c>
      <c r="B28" s="24">
        <f>($D28/100*1.17+$H28/100)*$B$20</f>
        <v>0.45366640000000003</v>
      </c>
      <c r="C28" s="104">
        <v>1.6</v>
      </c>
      <c r="D28" s="100">
        <v>56</v>
      </c>
      <c r="E28" s="104">
        <v>13.5</v>
      </c>
      <c r="F28" s="104">
        <v>8.5</v>
      </c>
      <c r="G28" s="104">
        <v>1.9</v>
      </c>
      <c r="H28" s="104">
        <v>1</v>
      </c>
      <c r="I28" s="104">
        <v>2.2000000000000002</v>
      </c>
      <c r="J28" s="104">
        <v>1.9</v>
      </c>
      <c r="K28" s="139">
        <v>6</v>
      </c>
      <c r="L28" s="139"/>
      <c r="M28" s="1"/>
      <c r="N28" s="29" t="s">
        <v>148</v>
      </c>
    </row>
    <row r="29" spans="1:16" ht="17.25" x14ac:dyDescent="0.4">
      <c r="A29" s="7" t="s">
        <v>1</v>
      </c>
      <c r="B29" s="24">
        <f t="shared" si="0"/>
        <v>0.6248620399999999</v>
      </c>
      <c r="C29" s="101">
        <v>1.6</v>
      </c>
      <c r="D29" s="100">
        <v>76.599999999999994</v>
      </c>
      <c r="E29" s="101">
        <v>7.4</v>
      </c>
      <c r="F29" s="108">
        <v>5</v>
      </c>
      <c r="G29" s="101">
        <v>0.4</v>
      </c>
      <c r="H29" s="108">
        <v>2</v>
      </c>
      <c r="I29" s="110">
        <v>0.8</v>
      </c>
      <c r="J29" s="110">
        <v>0.7</v>
      </c>
      <c r="K29" s="53">
        <v>2</v>
      </c>
      <c r="L29" s="53"/>
      <c r="M29" s="1"/>
      <c r="N29" s="29" t="s">
        <v>149</v>
      </c>
    </row>
    <row r="30" spans="1:16" ht="17.25" x14ac:dyDescent="0.4">
      <c r="A30" s="7" t="s">
        <v>36</v>
      </c>
      <c r="B30" s="24">
        <f t="shared" si="0"/>
        <v>0.39676714000000002</v>
      </c>
      <c r="C30" s="101">
        <v>1.6</v>
      </c>
      <c r="D30" s="100">
        <v>48.1</v>
      </c>
      <c r="E30" s="101">
        <v>10.3</v>
      </c>
      <c r="F30" s="101">
        <v>10.5</v>
      </c>
      <c r="G30" s="101">
        <v>3.9</v>
      </c>
      <c r="H30" s="101">
        <v>1.9</v>
      </c>
      <c r="I30" s="101">
        <v>5.9</v>
      </c>
      <c r="J30" s="101">
        <v>1.7</v>
      </c>
      <c r="K30" s="53">
        <v>2</v>
      </c>
      <c r="L30" s="53"/>
      <c r="M30" s="1"/>
      <c r="N30" s="29" t="s">
        <v>150</v>
      </c>
    </row>
    <row r="31" spans="1:16" ht="17.25" x14ac:dyDescent="0.4">
      <c r="A31" s="7" t="s">
        <v>37</v>
      </c>
      <c r="B31" s="24">
        <f t="shared" si="0"/>
        <v>0.48808012000000001</v>
      </c>
      <c r="C31" s="101">
        <v>1.6</v>
      </c>
      <c r="D31" s="100">
        <v>59.8</v>
      </c>
      <c r="E31" s="101">
        <v>8.3000000000000007</v>
      </c>
      <c r="F31" s="101">
        <v>5.9</v>
      </c>
      <c r="G31" s="101">
        <v>4</v>
      </c>
      <c r="H31" s="101">
        <v>1.6</v>
      </c>
      <c r="I31" s="101">
        <v>2.4</v>
      </c>
      <c r="J31" s="101">
        <v>1.24</v>
      </c>
      <c r="K31" s="53">
        <v>2</v>
      </c>
      <c r="L31" s="53"/>
      <c r="M31" s="1"/>
      <c r="N31" s="28" t="s">
        <v>22</v>
      </c>
    </row>
    <row r="32" spans="1:16" ht="17.25" x14ac:dyDescent="0.4">
      <c r="A32" s="7" t="s">
        <v>38</v>
      </c>
      <c r="B32" s="24">
        <f t="shared" si="0"/>
        <v>0.44220880000000001</v>
      </c>
      <c r="C32" s="101">
        <v>1.6</v>
      </c>
      <c r="D32" s="100">
        <v>52</v>
      </c>
      <c r="E32" s="101">
        <v>11.8</v>
      </c>
      <c r="F32" s="101">
        <v>10.199999999999999</v>
      </c>
      <c r="G32" s="101">
        <v>1.8</v>
      </c>
      <c r="H32" s="101">
        <v>4</v>
      </c>
      <c r="I32" s="101">
        <v>2.1</v>
      </c>
      <c r="J32" s="101">
        <v>1.61</v>
      </c>
      <c r="K32" s="53">
        <v>3</v>
      </c>
      <c r="L32" s="53"/>
      <c r="M32" s="1"/>
      <c r="N32" s="29" t="s">
        <v>23</v>
      </c>
    </row>
    <row r="33" spans="1:15" ht="17.25" x14ac:dyDescent="0.4">
      <c r="A33" s="7" t="s">
        <v>39</v>
      </c>
      <c r="B33" s="24">
        <f t="shared" si="0"/>
        <v>0.44111760000000005</v>
      </c>
      <c r="C33" s="101">
        <v>1.6</v>
      </c>
      <c r="D33" s="100">
        <v>54</v>
      </c>
      <c r="E33" s="101">
        <v>9.9</v>
      </c>
      <c r="F33" s="101">
        <v>7.5</v>
      </c>
      <c r="G33" s="101">
        <v>2.2000000000000002</v>
      </c>
      <c r="H33" s="101">
        <v>1.5</v>
      </c>
      <c r="I33" s="101">
        <v>3.7</v>
      </c>
      <c r="J33" s="101">
        <v>1.68</v>
      </c>
      <c r="K33" s="53">
        <v>1.5</v>
      </c>
      <c r="L33" s="53"/>
      <c r="M33" s="1"/>
      <c r="N33" s="29" t="s">
        <v>24</v>
      </c>
    </row>
    <row r="34" spans="1:15" ht="17.25" x14ac:dyDescent="0.4">
      <c r="A34" s="7" t="s">
        <v>40</v>
      </c>
      <c r="B34" s="24">
        <f t="shared" si="0"/>
        <v>0.3770096</v>
      </c>
      <c r="C34" s="101">
        <v>1.6</v>
      </c>
      <c r="D34" s="100">
        <v>44</v>
      </c>
      <c r="E34" s="101">
        <v>20.5</v>
      </c>
      <c r="F34" s="108">
        <v>5</v>
      </c>
      <c r="G34" s="101">
        <v>2</v>
      </c>
      <c r="H34" s="101">
        <v>3.8</v>
      </c>
      <c r="I34" s="101">
        <v>2.2000000000000002</v>
      </c>
      <c r="J34" s="101">
        <v>1.9</v>
      </c>
      <c r="K34" s="53">
        <v>1.5</v>
      </c>
      <c r="L34" s="53"/>
      <c r="M34" s="1"/>
      <c r="N34" s="29" t="s">
        <v>43</v>
      </c>
    </row>
    <row r="35" spans="1:15" ht="17.25" x14ac:dyDescent="0.4">
      <c r="A35" s="7" t="s">
        <v>41</v>
      </c>
      <c r="B35" s="24">
        <f t="shared" si="0"/>
        <v>0.4494311800000001</v>
      </c>
      <c r="C35" s="101">
        <v>1.6</v>
      </c>
      <c r="D35" s="105">
        <v>54.7</v>
      </c>
      <c r="E35" s="106">
        <v>11.2</v>
      </c>
      <c r="F35" s="109">
        <v>5</v>
      </c>
      <c r="G35" s="106">
        <v>3.9</v>
      </c>
      <c r="H35" s="106">
        <v>1.9</v>
      </c>
      <c r="I35" s="106">
        <v>10</v>
      </c>
      <c r="J35" s="106">
        <v>1.7</v>
      </c>
      <c r="K35" s="54">
        <v>2</v>
      </c>
      <c r="L35" s="54"/>
      <c r="M35" s="4"/>
      <c r="N35" s="29" t="s">
        <v>44</v>
      </c>
      <c r="O35" s="1" t="s">
        <v>116</v>
      </c>
    </row>
    <row r="36" spans="1:15" ht="18" x14ac:dyDescent="0.4">
      <c r="A36" s="59" t="s">
        <v>3</v>
      </c>
      <c r="B36" s="60">
        <f>($D36/100*1.17+$H36/100)*$B$20</f>
        <v>0.39676714000000002</v>
      </c>
      <c r="C36" s="107">
        <v>1.6</v>
      </c>
      <c r="D36" s="100">
        <v>48.1</v>
      </c>
      <c r="E36" s="107">
        <v>10.3</v>
      </c>
      <c r="F36" s="107">
        <v>10.5</v>
      </c>
      <c r="G36" s="107">
        <v>3.9</v>
      </c>
      <c r="H36" s="107">
        <v>1.9</v>
      </c>
      <c r="I36" s="107">
        <v>5.9</v>
      </c>
      <c r="J36" s="107">
        <v>1.7</v>
      </c>
      <c r="K36" s="61">
        <v>2</v>
      </c>
      <c r="L36" s="61">
        <f>IF(главная_страница!$F$6="солод хороший",$M5,IF(главная_страница!$F$6="солод средний",$N5,IF(главная_страница!$F$6="солод удовлетворительный",$O5,)))</f>
        <v>5</v>
      </c>
      <c r="M36" s="58"/>
      <c r="N36" s="5" t="s">
        <v>111</v>
      </c>
      <c r="O36" s="1">
        <v>1</v>
      </c>
    </row>
    <row r="37" spans="1:15" ht="18" x14ac:dyDescent="0.4">
      <c r="A37" s="59" t="s">
        <v>4</v>
      </c>
      <c r="B37" s="60">
        <f t="shared" si="0"/>
        <v>0.44111760000000005</v>
      </c>
      <c r="C37" s="107">
        <v>1.6</v>
      </c>
      <c r="D37" s="100">
        <v>54</v>
      </c>
      <c r="E37" s="101">
        <v>9.9</v>
      </c>
      <c r="F37" s="101">
        <v>7.5</v>
      </c>
      <c r="G37" s="101">
        <v>2.2000000000000002</v>
      </c>
      <c r="H37" s="101">
        <v>1.5</v>
      </c>
      <c r="I37" s="101">
        <v>3.7</v>
      </c>
      <c r="J37" s="101">
        <v>1.68</v>
      </c>
      <c r="K37" s="61">
        <v>2</v>
      </c>
      <c r="L37" s="61">
        <f>IF(главная_страница!$F$6="солод хороший",$M6,IF(главная_страница!$F$6="солод средний",$N6,IF(главная_страница!$F$6="солод удовлетворительный",$O6,)))</f>
        <v>3.5</v>
      </c>
      <c r="M37" s="58"/>
      <c r="N37" s="4" t="s">
        <v>112</v>
      </c>
      <c r="O37" s="1">
        <v>1.5</v>
      </c>
    </row>
    <row r="38" spans="1:15" ht="18" x14ac:dyDescent="0.4">
      <c r="A38" s="59" t="s">
        <v>42</v>
      </c>
      <c r="B38" s="60">
        <f t="shared" si="0"/>
        <v>0.44220880000000001</v>
      </c>
      <c r="C38" s="107">
        <v>1.6</v>
      </c>
      <c r="D38" s="100">
        <v>52</v>
      </c>
      <c r="E38" s="101">
        <v>11.8</v>
      </c>
      <c r="F38" s="101">
        <v>10.199999999999999</v>
      </c>
      <c r="G38" s="101">
        <v>1.8</v>
      </c>
      <c r="H38" s="101">
        <v>4</v>
      </c>
      <c r="I38" s="101">
        <v>2.1</v>
      </c>
      <c r="J38" s="101">
        <v>1.61</v>
      </c>
      <c r="K38" s="61">
        <v>2</v>
      </c>
      <c r="L38" s="61">
        <f>IF(главная_страница!$F$6="солод хороший",$M7,IF(главная_страница!$F$6="солод средний",$N7,IF(главная_страница!$F$6="солод удовлетворительный",$O7,)))</f>
        <v>3.5</v>
      </c>
      <c r="M38" s="58"/>
      <c r="N38" s="4" t="s">
        <v>113</v>
      </c>
      <c r="O38" s="1">
        <v>2</v>
      </c>
    </row>
    <row r="39" spans="1:15" ht="17.25" x14ac:dyDescent="0.4">
      <c r="A39" s="66" t="s">
        <v>138</v>
      </c>
      <c r="B39" s="60">
        <f t="shared" si="0"/>
        <v>0.48808012000000001</v>
      </c>
      <c r="C39" s="107">
        <v>1.6</v>
      </c>
      <c r="D39" s="100">
        <v>59.8</v>
      </c>
      <c r="E39" s="101">
        <v>8.3000000000000007</v>
      </c>
      <c r="F39" s="101">
        <v>5.9</v>
      </c>
      <c r="G39" s="101">
        <v>4</v>
      </c>
      <c r="H39" s="101">
        <v>1.6</v>
      </c>
      <c r="I39" s="101">
        <v>2.4</v>
      </c>
      <c r="J39" s="101">
        <v>1.24</v>
      </c>
      <c r="K39" s="61">
        <v>2</v>
      </c>
      <c r="L39" s="61">
        <f>IF(главная_страница!$F$6="солод хороший",$M8,IF(главная_страница!$F$6="солод средний",$N8,IF(главная_страница!$F$6="солод удовлетворительный",$O8,)))</f>
        <v>1</v>
      </c>
      <c r="M39" s="58"/>
      <c r="N39" s="4" t="s">
        <v>114</v>
      </c>
      <c r="O39" s="1">
        <v>3</v>
      </c>
    </row>
    <row r="40" spans="1:15" ht="17.25" x14ac:dyDescent="0.4">
      <c r="A40" s="66" t="s">
        <v>139</v>
      </c>
      <c r="B40" s="60">
        <f t="shared" si="0"/>
        <v>0.4494311800000001</v>
      </c>
      <c r="C40" s="107">
        <v>1.6</v>
      </c>
      <c r="D40" s="105">
        <v>54.7</v>
      </c>
      <c r="E40" s="106">
        <v>11.2</v>
      </c>
      <c r="F40" s="109">
        <v>5</v>
      </c>
      <c r="G40" s="106">
        <v>3.9</v>
      </c>
      <c r="H40" s="106">
        <v>1.9</v>
      </c>
      <c r="I40" s="106">
        <v>10</v>
      </c>
      <c r="J40" s="106">
        <v>1.7</v>
      </c>
      <c r="K40" s="61">
        <v>2</v>
      </c>
      <c r="L40" s="61">
        <f>IF(главная_страница!$F$6="солод хороший",$M9,IF(главная_страница!$F$6="солод средний",$N9,IF(главная_страница!$F$6="солод удовлетворительный",$O9,)))</f>
        <v>1</v>
      </c>
      <c r="M40" s="58"/>
      <c r="N40" s="4" t="s">
        <v>115</v>
      </c>
      <c r="O40" s="1">
        <v>1000000</v>
      </c>
    </row>
    <row r="41" spans="1:15" ht="17.25" x14ac:dyDescent="0.4">
      <c r="A41" s="66" t="s">
        <v>140</v>
      </c>
      <c r="B41" s="60">
        <f t="shared" si="0"/>
        <v>0.332816</v>
      </c>
      <c r="C41" s="107">
        <v>1.6</v>
      </c>
      <c r="D41" s="100">
        <v>40</v>
      </c>
      <c r="E41" s="107">
        <v>13</v>
      </c>
      <c r="F41" s="111">
        <v>8</v>
      </c>
      <c r="G41" s="107">
        <v>7</v>
      </c>
      <c r="H41" s="111">
        <v>2</v>
      </c>
      <c r="I41" s="107">
        <v>1.4</v>
      </c>
      <c r="J41" s="107">
        <v>2</v>
      </c>
      <c r="K41" s="61">
        <v>2</v>
      </c>
      <c r="L41" s="61">
        <f>IF(главная_страница!$F$6="солод хороший",$M10,IF(главная_страница!$F$6="солод средний",$N10,IF(главная_страница!$F$6="солод удовлетворительный",$O10,)))</f>
        <v>2.5</v>
      </c>
      <c r="M41" s="58"/>
      <c r="N41" s="4" t="s">
        <v>117</v>
      </c>
      <c r="O41" s="1"/>
    </row>
    <row r="42" spans="1:15" ht="17.25" x14ac:dyDescent="0.4">
      <c r="A42" s="11"/>
      <c r="B42" s="11"/>
      <c r="N42" s="5" t="s">
        <v>226</v>
      </c>
      <c r="O42" s="1"/>
    </row>
    <row r="43" spans="1:15" ht="17.25" x14ac:dyDescent="0.4">
      <c r="A43" s="11"/>
      <c r="B43" s="11"/>
      <c r="N43" s="4" t="s">
        <v>227</v>
      </c>
      <c r="O43" s="1">
        <v>1</v>
      </c>
    </row>
    <row r="44" spans="1:15" ht="17.25" x14ac:dyDescent="0.4">
      <c r="A44" s="11"/>
      <c r="B44" s="11"/>
      <c r="N44" s="4" t="s">
        <v>228</v>
      </c>
      <c r="O44" s="1">
        <v>2</v>
      </c>
    </row>
    <row r="45" spans="1:15" ht="17.25" x14ac:dyDescent="0.4">
      <c r="A45" s="11"/>
      <c r="B45" s="11"/>
      <c r="N45" s="5" t="s">
        <v>229</v>
      </c>
      <c r="O45" s="1"/>
    </row>
    <row r="46" spans="1:15" ht="17.25" x14ac:dyDescent="0.4">
      <c r="A46" s="11"/>
      <c r="B46" s="11"/>
      <c r="N46" s="4" t="s">
        <v>230</v>
      </c>
      <c r="O46" s="1">
        <v>1</v>
      </c>
    </row>
    <row r="47" spans="1:15" ht="17.25" x14ac:dyDescent="0.4">
      <c r="A47" s="11"/>
      <c r="B47" s="11"/>
      <c r="N47" s="4" t="s">
        <v>231</v>
      </c>
      <c r="O47" s="1">
        <v>1.25</v>
      </c>
    </row>
    <row r="48" spans="1:15" ht="17.25" x14ac:dyDescent="0.4">
      <c r="A48" s="11"/>
      <c r="B48" s="11"/>
      <c r="N48" s="4" t="s">
        <v>232</v>
      </c>
      <c r="O48" s="1">
        <v>1.5</v>
      </c>
    </row>
    <row r="49" spans="1:15" ht="17.25" x14ac:dyDescent="0.4">
      <c r="A49" s="11"/>
      <c r="B49" s="11"/>
      <c r="N49" s="5" t="s">
        <v>252</v>
      </c>
      <c r="O49" s="1"/>
    </row>
    <row r="50" spans="1:15" ht="17.25" x14ac:dyDescent="0.4">
      <c r="A50" s="11"/>
      <c r="B50" s="11"/>
      <c r="N50" s="4" t="s">
        <v>253</v>
      </c>
      <c r="O50" s="121">
        <v>1</v>
      </c>
    </row>
    <row r="51" spans="1:15" ht="17.25" x14ac:dyDescent="0.4">
      <c r="A51" s="11"/>
      <c r="B51" s="11"/>
      <c r="N51" s="4" t="s">
        <v>231</v>
      </c>
      <c r="O51" s="121">
        <v>1.25</v>
      </c>
    </row>
    <row r="52" spans="1:15" ht="17.25" x14ac:dyDescent="0.4">
      <c r="A52" s="11"/>
      <c r="B52" s="11"/>
      <c r="N52" s="4" t="s">
        <v>232</v>
      </c>
      <c r="O52" s="121">
        <v>1.5</v>
      </c>
    </row>
    <row r="53" spans="1:15" ht="17.25" x14ac:dyDescent="0.4">
      <c r="A53" s="11"/>
      <c r="B53" s="11"/>
      <c r="N53" s="4" t="s">
        <v>254</v>
      </c>
      <c r="O53" s="121">
        <v>1.75</v>
      </c>
    </row>
    <row r="54" spans="1:15" ht="17.25" x14ac:dyDescent="0.4">
      <c r="A54" s="11"/>
      <c r="B54" s="11"/>
      <c r="N54" s="4" t="s">
        <v>255</v>
      </c>
      <c r="O54" s="121">
        <v>2</v>
      </c>
    </row>
    <row r="55" spans="1:15" ht="17.25" x14ac:dyDescent="0.4">
      <c r="A55" s="11"/>
      <c r="B55" s="11"/>
      <c r="N55" s="5" t="s">
        <v>263</v>
      </c>
      <c r="O55" s="1"/>
    </row>
    <row r="56" spans="1:15" ht="17.25" x14ac:dyDescent="0.4">
      <c r="A56" s="11"/>
      <c r="B56" s="11"/>
      <c r="N56" s="4" t="s">
        <v>261</v>
      </c>
      <c r="O56" s="1"/>
    </row>
    <row r="57" spans="1:15" ht="17.25" x14ac:dyDescent="0.4">
      <c r="A57" s="11"/>
      <c r="B57" s="11"/>
      <c r="N57" s="4" t="s">
        <v>262</v>
      </c>
      <c r="O57" s="1"/>
    </row>
    <row r="58" spans="1:15" ht="17.25" x14ac:dyDescent="0.4">
      <c r="A58" s="11"/>
      <c r="B58" s="11"/>
    </row>
    <row r="59" spans="1:15" ht="17.25" x14ac:dyDescent="0.4">
      <c r="A59" s="11"/>
      <c r="B59" s="11"/>
    </row>
    <row r="60" spans="1:15" ht="17.25" x14ac:dyDescent="0.4">
      <c r="A60" s="11"/>
      <c r="B60" s="11"/>
    </row>
    <row r="61" spans="1:15" ht="17.25" x14ac:dyDescent="0.4">
      <c r="A61" s="11"/>
      <c r="B61" s="11"/>
    </row>
    <row r="62" spans="1:15" ht="17.25" x14ac:dyDescent="0.4">
      <c r="A62" s="11"/>
      <c r="B62" s="11"/>
    </row>
    <row r="63" spans="1:15" ht="17.25" x14ac:dyDescent="0.4">
      <c r="A63" s="11"/>
      <c r="B63" s="11"/>
    </row>
    <row r="64" spans="1:15" ht="17.25" x14ac:dyDescent="0.4">
      <c r="A64" s="11"/>
      <c r="B64" s="11"/>
    </row>
    <row r="65" spans="1:2" ht="17.25" x14ac:dyDescent="0.4">
      <c r="A65" s="11"/>
      <c r="B65" s="11"/>
    </row>
    <row r="66" spans="1:2" ht="17.25" x14ac:dyDescent="0.4">
      <c r="A66" s="11"/>
      <c r="B66" s="11"/>
    </row>
  </sheetData>
  <mergeCells count="40">
    <mergeCell ref="J3:J4"/>
    <mergeCell ref="F2:J2"/>
    <mergeCell ref="A15:B15"/>
    <mergeCell ref="L2:O2"/>
    <mergeCell ref="L11:O11"/>
    <mergeCell ref="L12:N12"/>
    <mergeCell ref="L3:L4"/>
    <mergeCell ref="M3:O3"/>
    <mergeCell ref="I3:I4"/>
    <mergeCell ref="G3:G4"/>
    <mergeCell ref="J10:K10"/>
    <mergeCell ref="J11:K11"/>
    <mergeCell ref="H3:H4"/>
    <mergeCell ref="F3:F4"/>
    <mergeCell ref="F14:G14"/>
    <mergeCell ref="H10:I10"/>
    <mergeCell ref="H11:I11"/>
    <mergeCell ref="H12:I12"/>
    <mergeCell ref="H13:I13"/>
    <mergeCell ref="H14:I14"/>
    <mergeCell ref="F10:G10"/>
    <mergeCell ref="F11:G11"/>
    <mergeCell ref="F12:G12"/>
    <mergeCell ref="F13:G13"/>
    <mergeCell ref="J12:K12"/>
    <mergeCell ref="J13:K13"/>
    <mergeCell ref="J14:K14"/>
    <mergeCell ref="O17:P17"/>
    <mergeCell ref="A2:C2"/>
    <mergeCell ref="A3:C3"/>
    <mergeCell ref="A4:C4"/>
    <mergeCell ref="A5:C5"/>
    <mergeCell ref="A8:C8"/>
    <mergeCell ref="A9:B9"/>
    <mergeCell ref="A10:B10"/>
    <mergeCell ref="A11:B11"/>
    <mergeCell ref="A12:B12"/>
    <mergeCell ref="A13:B13"/>
    <mergeCell ref="A14:B14"/>
    <mergeCell ref="A7:C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H94"/>
  <sheetViews>
    <sheetView tabSelected="1" zoomScale="90" zoomScaleNormal="90" workbookViewId="0">
      <selection activeCell="C9" sqref="C9:D9"/>
    </sheetView>
  </sheetViews>
  <sheetFormatPr defaultRowHeight="23.25" x14ac:dyDescent="0.25"/>
  <cols>
    <col min="1" max="1" width="7.42578125" style="90" customWidth="1"/>
    <col min="2" max="2" width="30.5703125" style="90" customWidth="1"/>
    <col min="3" max="3" width="18.42578125" style="90" customWidth="1"/>
    <col min="4" max="4" width="24.5703125" style="90" customWidth="1"/>
    <col min="5" max="5" width="53.85546875" style="90" customWidth="1"/>
    <col min="6" max="6" width="44.5703125" style="90" customWidth="1"/>
    <col min="7" max="16384" width="9.140625" style="90"/>
  </cols>
  <sheetData>
    <row r="1" spans="1:8" ht="48.75" x14ac:dyDescent="0.25">
      <c r="A1" s="178" t="s">
        <v>268</v>
      </c>
      <c r="B1" s="178"/>
      <c r="C1" s="178"/>
      <c r="D1" s="178"/>
      <c r="E1" s="178"/>
      <c r="F1" s="178"/>
      <c r="G1" s="92"/>
      <c r="H1" s="92"/>
    </row>
    <row r="2" spans="1:8" ht="41.25" x14ac:dyDescent="0.25">
      <c r="A2" s="189" t="s">
        <v>12</v>
      </c>
      <c r="B2" s="189"/>
      <c r="C2" s="189"/>
      <c r="D2" s="189"/>
      <c r="E2" s="189" t="s">
        <v>11</v>
      </c>
      <c r="F2" s="189"/>
    </row>
    <row r="3" spans="1:8" ht="17.25" customHeight="1" x14ac:dyDescent="0.25">
      <c r="A3" s="89" t="s">
        <v>162</v>
      </c>
      <c r="B3" s="89" t="s">
        <v>161</v>
      </c>
      <c r="C3" s="192" t="s">
        <v>13</v>
      </c>
      <c r="D3" s="192"/>
      <c r="E3" s="143" t="s">
        <v>10</v>
      </c>
      <c r="F3" s="142">
        <v>5</v>
      </c>
    </row>
    <row r="4" spans="1:8" ht="17.25" customHeight="1" x14ac:dyDescent="0.25">
      <c r="A4" s="94">
        <v>1</v>
      </c>
      <c r="B4" s="141" t="s">
        <v>26</v>
      </c>
      <c r="C4" s="179">
        <v>1</v>
      </c>
      <c r="D4" s="179"/>
      <c r="E4" s="93" t="s">
        <v>22</v>
      </c>
      <c r="F4" s="141" t="s">
        <v>24</v>
      </c>
    </row>
    <row r="5" spans="1:8" ht="17.25" customHeight="1" x14ac:dyDescent="0.25">
      <c r="A5" s="94">
        <v>2</v>
      </c>
      <c r="B5" s="141" t="s">
        <v>7</v>
      </c>
      <c r="C5" s="179"/>
      <c r="D5" s="179"/>
      <c r="E5" s="93" t="s">
        <v>14</v>
      </c>
      <c r="F5" s="141" t="s">
        <v>46</v>
      </c>
    </row>
    <row r="6" spans="1:8" ht="17.25" customHeight="1" x14ac:dyDescent="0.25">
      <c r="A6" s="94">
        <v>3</v>
      </c>
      <c r="B6" s="141" t="s">
        <v>7</v>
      </c>
      <c r="C6" s="179"/>
      <c r="D6" s="179"/>
      <c r="E6" s="93" t="s">
        <v>147</v>
      </c>
      <c r="F6" s="141" t="s">
        <v>148</v>
      </c>
    </row>
    <row r="7" spans="1:8" ht="17.25" customHeight="1" x14ac:dyDescent="0.25">
      <c r="A7" s="94">
        <v>4</v>
      </c>
      <c r="B7" s="141" t="s">
        <v>7</v>
      </c>
      <c r="C7" s="179"/>
      <c r="D7" s="179"/>
      <c r="E7" s="95" t="s">
        <v>118</v>
      </c>
      <c r="F7" s="141" t="s">
        <v>112</v>
      </c>
    </row>
    <row r="8" spans="1:8" ht="17.25" customHeight="1" x14ac:dyDescent="0.25">
      <c r="A8" s="94">
        <v>5</v>
      </c>
      <c r="B8" s="141" t="s">
        <v>7</v>
      </c>
      <c r="C8" s="179"/>
      <c r="D8" s="179"/>
      <c r="E8" s="95" t="s">
        <v>225</v>
      </c>
      <c r="F8" s="141" t="s">
        <v>228</v>
      </c>
      <c r="G8" s="92"/>
      <c r="H8" s="92"/>
    </row>
    <row r="9" spans="1:8" ht="17.25" customHeight="1" x14ac:dyDescent="0.25">
      <c r="A9" s="94">
        <v>6</v>
      </c>
      <c r="B9" s="141" t="s">
        <v>7</v>
      </c>
      <c r="C9" s="179"/>
      <c r="D9" s="179"/>
      <c r="E9" s="95" t="s">
        <v>233</v>
      </c>
      <c r="F9" s="141" t="s">
        <v>230</v>
      </c>
    </row>
    <row r="10" spans="1:8" ht="17.25" customHeight="1" x14ac:dyDescent="0.25">
      <c r="A10" s="94">
        <v>7</v>
      </c>
      <c r="B10" s="141" t="s">
        <v>7</v>
      </c>
      <c r="C10" s="179"/>
      <c r="D10" s="179"/>
      <c r="E10" s="95" t="s">
        <v>251</v>
      </c>
      <c r="F10" s="141" t="s">
        <v>253</v>
      </c>
    </row>
    <row r="11" spans="1:8" ht="17.25" customHeight="1" x14ac:dyDescent="0.25">
      <c r="A11" s="94">
        <v>8</v>
      </c>
      <c r="B11" s="141" t="s">
        <v>7</v>
      </c>
      <c r="C11" s="179"/>
      <c r="D11" s="179"/>
      <c r="E11" s="95" t="s">
        <v>264</v>
      </c>
      <c r="F11" s="141" t="s">
        <v>262</v>
      </c>
    </row>
    <row r="12" spans="1:8" ht="17.25" customHeight="1" x14ac:dyDescent="0.25">
      <c r="A12" s="94">
        <v>9</v>
      </c>
      <c r="B12" s="141" t="s">
        <v>7</v>
      </c>
      <c r="C12" s="179"/>
      <c r="D12" s="179"/>
      <c r="E12" s="190" t="s">
        <v>224</v>
      </c>
      <c r="F12" s="191"/>
    </row>
    <row r="13" spans="1:8" ht="17.25" customHeight="1" x14ac:dyDescent="0.25">
      <c r="A13" s="94">
        <v>10</v>
      </c>
      <c r="B13" s="141" t="s">
        <v>7</v>
      </c>
      <c r="C13" s="179"/>
      <c r="D13" s="179"/>
      <c r="E13" s="93" t="s">
        <v>17</v>
      </c>
      <c r="F13" s="96">
        <f>IF(E3="объем сусла (л)",F3,IF(E3="сахаристость сусла % мас",расчеты!B8*100/главная_страница!F3,IF(E3="гидромодуль",расчеты!B14*главная_страница!F3+расчеты!B10,IF(E3="спиртуозность браги в % об",(расчеты!B3*100)/F3,))))</f>
        <v>5.7142857142857144</v>
      </c>
    </row>
    <row r="14" spans="1:8" ht="17.25" customHeight="1" x14ac:dyDescent="0.25">
      <c r="A14" s="180" t="s">
        <v>72</v>
      </c>
      <c r="B14" s="181"/>
      <c r="C14" s="181"/>
      <c r="D14" s="182"/>
      <c r="E14" s="93" t="s">
        <v>133</v>
      </c>
      <c r="F14" s="96">
        <f>расчеты!B8*100/F13</f>
        <v>17.5</v>
      </c>
    </row>
    <row r="15" spans="1:8" ht="17.25" customHeight="1" x14ac:dyDescent="0.25">
      <c r="A15" s="183"/>
      <c r="B15" s="184"/>
      <c r="C15" s="184"/>
      <c r="D15" s="185"/>
      <c r="E15" s="93" t="s">
        <v>132</v>
      </c>
      <c r="F15" s="96">
        <f>IF(F11="учитываются",расчеты!B4*100/F13,расчеты!B3*100/F13)</f>
        <v>10.562475000000001</v>
      </c>
    </row>
    <row r="16" spans="1:8" ht="17.25" customHeight="1" x14ac:dyDescent="0.25">
      <c r="A16" s="183"/>
      <c r="B16" s="184"/>
      <c r="C16" s="184"/>
      <c r="D16" s="185"/>
      <c r="E16" s="93" t="s">
        <v>10</v>
      </c>
      <c r="F16" s="96">
        <f>(F13-расчеты!B10)/расчеты!B14</f>
        <v>5</v>
      </c>
    </row>
    <row r="17" spans="1:6" ht="17.25" customHeight="1" x14ac:dyDescent="0.25">
      <c r="A17" s="183"/>
      <c r="B17" s="184"/>
      <c r="C17" s="184"/>
      <c r="D17" s="185"/>
      <c r="E17" s="97" t="s">
        <v>119</v>
      </c>
      <c r="F17" s="96">
        <f>IF(F5="не используется",расчеты!B18,расчеты!B19)</f>
        <v>6.7226890756302522</v>
      </c>
    </row>
    <row r="18" spans="1:6" ht="17.25" customHeight="1" x14ac:dyDescent="0.25">
      <c r="A18" s="187" t="s">
        <v>68</v>
      </c>
      <c r="B18" s="188"/>
      <c r="C18" s="186">
        <v>70</v>
      </c>
      <c r="D18" s="186"/>
      <c r="E18" s="95" t="s">
        <v>267</v>
      </c>
      <c r="F18" s="123">
        <f>IF(F11="учитываются",расчеты!B4,расчеты!B3)</f>
        <v>0.60357000000000005</v>
      </c>
    </row>
    <row r="19" spans="1:6" ht="17.25" customHeight="1" x14ac:dyDescent="0.25">
      <c r="A19" s="187" t="s">
        <v>69</v>
      </c>
      <c r="B19" s="188"/>
      <c r="C19" s="186">
        <v>12</v>
      </c>
      <c r="D19" s="186"/>
      <c r="E19" s="117" t="s">
        <v>243</v>
      </c>
      <c r="F19" s="116" t="s">
        <v>242</v>
      </c>
    </row>
    <row r="20" spans="1:6" ht="17.25" customHeight="1" x14ac:dyDescent="0.25">
      <c r="A20" s="187" t="s">
        <v>70</v>
      </c>
      <c r="B20" s="188"/>
      <c r="C20" s="186">
        <v>3</v>
      </c>
      <c r="D20" s="186"/>
      <c r="E20" s="93" t="s">
        <v>109</v>
      </c>
      <c r="F20" s="98">
        <f>IF(расчеты!$D30&gt;1000000," без проверки использовать нельзя!",расчеты!$I30)</f>
        <v>0</v>
      </c>
    </row>
    <row r="21" spans="1:6" ht="17.25" customHeight="1" x14ac:dyDescent="0.25">
      <c r="A21" s="201" t="s">
        <v>71</v>
      </c>
      <c r="B21" s="202"/>
      <c r="C21" s="186">
        <v>3</v>
      </c>
      <c r="D21" s="186"/>
      <c r="E21" s="93" t="s">
        <v>102</v>
      </c>
      <c r="F21" s="98">
        <f>IF(расчеты!$D31&gt;1000000," без проверки использовать нельзя!",расчеты!$I31)</f>
        <v>0</v>
      </c>
    </row>
    <row r="22" spans="1:6" ht="17.25" customHeight="1" x14ac:dyDescent="0.25">
      <c r="A22" s="91"/>
      <c r="B22" s="91"/>
      <c r="C22" s="118"/>
      <c r="E22" s="93" t="s">
        <v>103</v>
      </c>
      <c r="F22" s="98">
        <f>IF(расчеты!$D32&gt;1000000," без проверки использовать нельзя!",расчеты!$I32)</f>
        <v>0</v>
      </c>
    </row>
    <row r="23" spans="1:6" ht="17.25" customHeight="1" x14ac:dyDescent="0.25">
      <c r="A23" s="91"/>
      <c r="E23" s="93" t="s">
        <v>104</v>
      </c>
      <c r="F23" s="98">
        <f>IF(расчеты!$D33&gt;1000000," без проверки использовать нельзя!",расчеты!$I33)</f>
        <v>0</v>
      </c>
    </row>
    <row r="24" spans="1:6" ht="17.25" customHeight="1" x14ac:dyDescent="0.25">
      <c r="A24" s="91"/>
      <c r="B24" s="91" t="s">
        <v>269</v>
      </c>
      <c r="C24" s="138">
        <f>F17</f>
        <v>6.7226890756302522</v>
      </c>
      <c r="E24" s="117" t="s">
        <v>243</v>
      </c>
      <c r="F24" s="116" t="s">
        <v>244</v>
      </c>
    </row>
    <row r="25" spans="1:6" ht="17.25" customHeight="1" x14ac:dyDescent="0.25">
      <c r="A25" s="91"/>
      <c r="B25" s="91" t="s">
        <v>270</v>
      </c>
      <c r="C25" s="138">
        <f>C24-F13</f>
        <v>1.0084033613445378</v>
      </c>
      <c r="E25" s="93" t="s">
        <v>109</v>
      </c>
      <c r="F25" s="98">
        <f>F20*'справочные данные'!J5</f>
        <v>0</v>
      </c>
    </row>
    <row r="26" spans="1:6" ht="17.25" customHeight="1" x14ac:dyDescent="0.25">
      <c r="A26" s="91"/>
      <c r="B26" s="91"/>
      <c r="C26" s="118"/>
      <c r="E26" s="93" t="s">
        <v>102</v>
      </c>
      <c r="F26" s="98">
        <f>F21*'справочные данные'!J6</f>
        <v>0</v>
      </c>
    </row>
    <row r="27" spans="1:6" ht="17.25" customHeight="1" x14ac:dyDescent="0.25">
      <c r="A27" s="91"/>
      <c r="B27" s="91"/>
      <c r="C27" s="118"/>
      <c r="E27" s="93" t="s">
        <v>103</v>
      </c>
      <c r="F27" s="98">
        <f>F22*'справочные данные'!J7</f>
        <v>0</v>
      </c>
    </row>
    <row r="28" spans="1:6" ht="17.25" customHeight="1" x14ac:dyDescent="0.25">
      <c r="A28" s="91"/>
      <c r="B28" s="91"/>
      <c r="C28" s="118"/>
      <c r="E28" s="93" t="s">
        <v>104</v>
      </c>
      <c r="F28" s="98">
        <f>F23*'справочные данные'!J8</f>
        <v>0</v>
      </c>
    </row>
    <row r="29" spans="1:6" ht="17.25" customHeight="1" x14ac:dyDescent="0.25">
      <c r="A29" s="91"/>
      <c r="B29" s="91"/>
      <c r="C29" s="118"/>
      <c r="E29" s="192" t="s">
        <v>129</v>
      </c>
      <c r="F29" s="192"/>
    </row>
    <row r="30" spans="1:6" ht="17.25" customHeight="1" x14ac:dyDescent="0.25">
      <c r="A30" s="91"/>
      <c r="B30" s="91"/>
      <c r="C30" s="118"/>
      <c r="E30" s="93" t="str">
        <f>F4</f>
        <v>пресованные хлебопекарские</v>
      </c>
      <c r="F30" s="98">
        <f>расчеты!B45</f>
        <v>114.28571428571429</v>
      </c>
    </row>
    <row r="31" spans="1:6" ht="17.25" customHeight="1" x14ac:dyDescent="0.25">
      <c r="A31" s="91"/>
      <c r="B31" s="91"/>
      <c r="C31" s="118"/>
      <c r="E31" s="91"/>
      <c r="F31" s="112"/>
    </row>
    <row r="32" spans="1:6" ht="17.25" customHeight="1" x14ac:dyDescent="0.25">
      <c r="E32" s="91"/>
      <c r="F32" s="112"/>
    </row>
    <row r="33" spans="1:6" ht="43.5" x14ac:dyDescent="0.25">
      <c r="A33" s="205" t="s">
        <v>182</v>
      </c>
      <c r="B33" s="206"/>
      <c r="C33" s="206"/>
      <c r="D33" s="206"/>
      <c r="E33" s="206"/>
      <c r="F33" s="207"/>
    </row>
    <row r="34" spans="1:6" ht="24.75" x14ac:dyDescent="0.25">
      <c r="A34" s="204" t="s">
        <v>196</v>
      </c>
      <c r="B34" s="204"/>
      <c r="C34" s="204"/>
      <c r="D34" s="204"/>
      <c r="E34" s="192" t="s">
        <v>197</v>
      </c>
      <c r="F34" s="192"/>
    </row>
    <row r="35" spans="1:6" ht="24.75" x14ac:dyDescent="0.25">
      <c r="A35" s="203" t="s">
        <v>163</v>
      </c>
      <c r="B35" s="203"/>
      <c r="C35" s="203"/>
      <c r="D35" s="203"/>
      <c r="E35" s="193" t="s">
        <v>193</v>
      </c>
      <c r="F35" s="193"/>
    </row>
    <row r="36" spans="1:6" x14ac:dyDescent="0.25">
      <c r="A36" s="124">
        <v>1</v>
      </c>
      <c r="B36" s="125" t="str">
        <f>IF($B4="сырье не выбрано","-",$B4)</f>
        <v>сахар</v>
      </c>
      <c r="C36" s="140">
        <f>IF($B36="-","-",$C4)</f>
        <v>1</v>
      </c>
      <c r="D36" s="125" t="str">
        <f>IF($C36="-","-","кг")</f>
        <v>кг</v>
      </c>
      <c r="E36" s="125" t="s">
        <v>194</v>
      </c>
      <c r="F36" s="127">
        <f>F13</f>
        <v>5.7142857142857144</v>
      </c>
    </row>
    <row r="37" spans="1:6" x14ac:dyDescent="0.25">
      <c r="A37" s="124">
        <v>2</v>
      </c>
      <c r="B37" s="125" t="str">
        <f>IF($B5="сырье не выбрано","-",$B5)</f>
        <v>-</v>
      </c>
      <c r="C37" s="126" t="str">
        <f>IF($B37="-","-",$C5)</f>
        <v>-</v>
      </c>
      <c r="D37" s="125" t="str">
        <f>IF($C37="-","-","кг")</f>
        <v>-</v>
      </c>
      <c r="E37" s="125" t="s">
        <v>195</v>
      </c>
      <c r="F37" s="127">
        <f>F14</f>
        <v>17.5</v>
      </c>
    </row>
    <row r="38" spans="1:6" x14ac:dyDescent="0.25">
      <c r="A38" s="124">
        <v>3</v>
      </c>
      <c r="B38" s="125" t="str">
        <f t="shared" ref="B38:B45" si="0">IF($B6="сырье не выбрано","-",$B6)</f>
        <v>-</v>
      </c>
      <c r="C38" s="140" t="str">
        <f t="shared" ref="C38:C45" si="1">IF($B38="-","-",$C6)</f>
        <v>-</v>
      </c>
      <c r="D38" s="125" t="str">
        <f t="shared" ref="D38:D45" si="2">IF($C38="-","-","кг")</f>
        <v>-</v>
      </c>
      <c r="E38" s="125" t="s">
        <v>266</v>
      </c>
      <c r="F38" s="127">
        <f>F17</f>
        <v>6.7226890756302522</v>
      </c>
    </row>
    <row r="39" spans="1:6" x14ac:dyDescent="0.25">
      <c r="A39" s="124">
        <v>4</v>
      </c>
      <c r="B39" s="125" t="str">
        <f t="shared" si="0"/>
        <v>-</v>
      </c>
      <c r="C39" s="140" t="str">
        <f t="shared" si="1"/>
        <v>-</v>
      </c>
      <c r="D39" s="125" t="str">
        <f t="shared" si="2"/>
        <v>-</v>
      </c>
      <c r="E39" s="193" t="s">
        <v>198</v>
      </c>
      <c r="F39" s="193"/>
    </row>
    <row r="40" spans="1:6" x14ac:dyDescent="0.25">
      <c r="A40" s="124">
        <v>5</v>
      </c>
      <c r="B40" s="125" t="str">
        <f t="shared" si="0"/>
        <v>-</v>
      </c>
      <c r="C40" s="140" t="str">
        <f t="shared" si="1"/>
        <v>-</v>
      </c>
      <c r="D40" s="125" t="str">
        <f t="shared" si="2"/>
        <v>-</v>
      </c>
      <c r="E40" s="125" t="s">
        <v>199</v>
      </c>
      <c r="F40" s="127">
        <f>F15</f>
        <v>10.562475000000001</v>
      </c>
    </row>
    <row r="41" spans="1:6" x14ac:dyDescent="0.25">
      <c r="A41" s="124">
        <v>6</v>
      </c>
      <c r="B41" s="125" t="str">
        <f t="shared" si="0"/>
        <v>-</v>
      </c>
      <c r="C41" s="140" t="str">
        <f t="shared" si="1"/>
        <v>-</v>
      </c>
      <c r="D41" s="125" t="str">
        <f t="shared" si="2"/>
        <v>-</v>
      </c>
      <c r="E41" s="193" t="s">
        <v>200</v>
      </c>
      <c r="F41" s="193"/>
    </row>
    <row r="42" spans="1:6" x14ac:dyDescent="0.25">
      <c r="A42" s="124">
        <v>7</v>
      </c>
      <c r="B42" s="125" t="str">
        <f t="shared" si="0"/>
        <v>-</v>
      </c>
      <c r="C42" s="140" t="str">
        <f t="shared" si="1"/>
        <v>-</v>
      </c>
      <c r="D42" s="125" t="str">
        <f t="shared" si="2"/>
        <v>-</v>
      </c>
      <c r="E42" s="125" t="s">
        <v>202</v>
      </c>
      <c r="F42" s="132">
        <f>расчеты!B3</f>
        <v>0.68200000000000005</v>
      </c>
    </row>
    <row r="43" spans="1:6" x14ac:dyDescent="0.25">
      <c r="A43" s="124">
        <v>8</v>
      </c>
      <c r="B43" s="125" t="str">
        <f t="shared" si="0"/>
        <v>-</v>
      </c>
      <c r="C43" s="140" t="str">
        <f t="shared" si="1"/>
        <v>-</v>
      </c>
      <c r="D43" s="125" t="str">
        <f t="shared" si="2"/>
        <v>-</v>
      </c>
      <c r="E43" s="125" t="s">
        <v>201</v>
      </c>
      <c r="F43" s="132">
        <f>расчеты!B4</f>
        <v>0.60357000000000005</v>
      </c>
    </row>
    <row r="44" spans="1:6" x14ac:dyDescent="0.25">
      <c r="A44" s="124">
        <v>9</v>
      </c>
      <c r="B44" s="125" t="str">
        <f t="shared" si="0"/>
        <v>-</v>
      </c>
      <c r="C44" s="140" t="str">
        <f t="shared" si="1"/>
        <v>-</v>
      </c>
      <c r="D44" s="125" t="str">
        <f t="shared" si="2"/>
        <v>-</v>
      </c>
      <c r="E44" s="136" t="s">
        <v>212</v>
      </c>
      <c r="F44" s="137">
        <f>F43-((F43*'справочные данные'!C15)/100)</f>
        <v>0.57339150000000005</v>
      </c>
    </row>
    <row r="45" spans="1:6" x14ac:dyDescent="0.25">
      <c r="A45" s="124">
        <v>10</v>
      </c>
      <c r="B45" s="125" t="str">
        <f t="shared" si="0"/>
        <v>-</v>
      </c>
      <c r="C45" s="140" t="str">
        <f t="shared" si="1"/>
        <v>-</v>
      </c>
      <c r="D45" s="125" t="str">
        <f t="shared" si="2"/>
        <v>-</v>
      </c>
      <c r="E45" s="193" t="s">
        <v>210</v>
      </c>
      <c r="F45" s="193"/>
    </row>
    <row r="46" spans="1:6" x14ac:dyDescent="0.25">
      <c r="A46" s="195" t="s">
        <v>166</v>
      </c>
      <c r="B46" s="196"/>
      <c r="C46" s="196"/>
      <c r="D46" s="197"/>
      <c r="E46" s="211" t="s">
        <v>209</v>
      </c>
      <c r="F46" s="227"/>
    </row>
    <row r="47" spans="1:6" x14ac:dyDescent="0.25">
      <c r="A47" s="198">
        <f>расчеты!B14</f>
        <v>1</v>
      </c>
      <c r="B47" s="199"/>
      <c r="C47" s="199"/>
      <c r="D47" s="200"/>
      <c r="E47" s="125" t="s">
        <v>203</v>
      </c>
      <c r="F47" s="133">
        <f>'справочные данные'!C9</f>
        <v>0</v>
      </c>
    </row>
    <row r="48" spans="1:6" x14ac:dyDescent="0.25">
      <c r="A48" s="195" t="s">
        <v>167</v>
      </c>
      <c r="B48" s="196"/>
      <c r="C48" s="196"/>
      <c r="D48" s="197"/>
      <c r="E48" s="125" t="s">
        <v>204</v>
      </c>
      <c r="F48" s="125">
        <f>'справочные данные'!C10</f>
        <v>5.5</v>
      </c>
    </row>
    <row r="49" spans="1:6" x14ac:dyDescent="0.25">
      <c r="A49" s="198">
        <f>расчеты!B10</f>
        <v>0.7142857142857143</v>
      </c>
      <c r="B49" s="199"/>
      <c r="C49" s="199"/>
      <c r="D49" s="200"/>
      <c r="E49" s="125" t="s">
        <v>205</v>
      </c>
      <c r="F49" s="125">
        <f>'справочные данные'!C11</f>
        <v>1</v>
      </c>
    </row>
    <row r="50" spans="1:6" x14ac:dyDescent="0.25">
      <c r="A50" s="193" t="s">
        <v>164</v>
      </c>
      <c r="B50" s="193"/>
      <c r="C50" s="193"/>
      <c r="D50" s="193"/>
      <c r="E50" s="125" t="s">
        <v>206</v>
      </c>
      <c r="F50" s="125">
        <f>'справочные данные'!C13</f>
        <v>5</v>
      </c>
    </row>
    <row r="51" spans="1:6" x14ac:dyDescent="0.25">
      <c r="A51" s="194" t="s">
        <v>165</v>
      </c>
      <c r="B51" s="194"/>
      <c r="C51" s="194"/>
      <c r="D51" s="127">
        <f>расчеты!B20</f>
        <v>5</v>
      </c>
      <c r="E51" s="125" t="s">
        <v>207</v>
      </c>
      <c r="F51" s="133">
        <f>'справочные данные'!C14</f>
        <v>11.5</v>
      </c>
    </row>
    <row r="52" spans="1:6" x14ac:dyDescent="0.25">
      <c r="A52" s="194" t="s">
        <v>168</v>
      </c>
      <c r="B52" s="194"/>
      <c r="C52" s="194"/>
      <c r="D52" s="127">
        <f>F16</f>
        <v>5</v>
      </c>
      <c r="E52" s="211" t="s">
        <v>214</v>
      </c>
      <c r="F52" s="227"/>
    </row>
    <row r="53" spans="1:6" x14ac:dyDescent="0.25">
      <c r="A53" s="193" t="s">
        <v>14</v>
      </c>
      <c r="B53" s="193"/>
      <c r="C53" s="193"/>
      <c r="D53" s="193"/>
      <c r="E53" s="125" t="s">
        <v>211</v>
      </c>
      <c r="F53" s="125">
        <f>'справочные данные'!C15</f>
        <v>5</v>
      </c>
    </row>
    <row r="54" spans="1:6" x14ac:dyDescent="0.25">
      <c r="A54" s="208" t="s">
        <v>172</v>
      </c>
      <c r="B54" s="209"/>
      <c r="C54" s="210"/>
      <c r="D54" s="125" t="str">
        <f>F5</f>
        <v>не используется</v>
      </c>
      <c r="E54" s="228" t="s">
        <v>215</v>
      </c>
      <c r="F54" s="228"/>
    </row>
    <row r="55" spans="1:6" x14ac:dyDescent="0.25">
      <c r="A55" s="208" t="str">
        <f>IF(D54="не используется","Поэтому объем тары под сусло придется взять с запасом...","Потому запас под пену можно оставить поменьше!")</f>
        <v>Поэтому объем тары под сусло придется взять с запасом...</v>
      </c>
      <c r="B55" s="209"/>
      <c r="C55" s="209"/>
      <c r="D55" s="210"/>
      <c r="E55" s="229"/>
      <c r="F55" s="229"/>
    </row>
    <row r="56" spans="1:6" x14ac:dyDescent="0.25">
      <c r="A56" s="194" t="s">
        <v>173</v>
      </c>
      <c r="B56" s="194"/>
      <c r="C56" s="194"/>
      <c r="D56" s="128">
        <f>IF(D54="применяется",расчеты!B36*100,расчеты!B17)</f>
        <v>15.000000000000002</v>
      </c>
      <c r="E56" s="212" t="str">
        <f>IF(D87&gt;D86,расчеты!A95,расчеты!A96)</f>
        <v>В целом затор сбаллансирован. Принципиальных замечаний нет.</v>
      </c>
      <c r="F56" s="213"/>
    </row>
    <row r="57" spans="1:6" x14ac:dyDescent="0.25">
      <c r="A57" s="208" t="s">
        <v>265</v>
      </c>
      <c r="B57" s="209"/>
      <c r="C57" s="210"/>
      <c r="D57" s="129" t="str">
        <f>IF(D54="не используется","конечно, ноль )))",расчеты!B16)</f>
        <v>конечно, ноль )))</v>
      </c>
      <c r="E57" s="214"/>
      <c r="F57" s="215"/>
    </row>
    <row r="58" spans="1:6" ht="38.25" x14ac:dyDescent="0.25">
      <c r="A58" s="193" t="s">
        <v>100</v>
      </c>
      <c r="B58" s="193"/>
      <c r="C58" s="193"/>
      <c r="D58" s="211"/>
      <c r="E58" s="216" t="str">
        <f>IF(D87&gt;D86,расчеты!B28,"")</f>
        <v/>
      </c>
      <c r="F58" s="217"/>
    </row>
    <row r="59" spans="1:6" ht="15" customHeight="1" x14ac:dyDescent="0.25">
      <c r="A59" s="194" t="s">
        <v>171</v>
      </c>
      <c r="B59" s="194"/>
      <c r="C59" s="194"/>
      <c r="D59" s="208"/>
      <c r="E59" s="231" t="str">
        <f>IF(D87&gt;D86,расчеты!A97,"")</f>
        <v/>
      </c>
      <c r="F59" s="232"/>
    </row>
    <row r="60" spans="1:6" ht="38.25" x14ac:dyDescent="0.25">
      <c r="A60" s="225" t="str">
        <f>расчеты!D74</f>
        <v>сахарная</v>
      </c>
      <c r="B60" s="225"/>
      <c r="C60" s="225" t="str">
        <f>расчеты!E74</f>
        <v/>
      </c>
      <c r="D60" s="226"/>
      <c r="E60" s="233" t="str">
        <f>IF(D87&gt;D86,расчеты!B26,"")</f>
        <v/>
      </c>
      <c r="F60" s="234"/>
    </row>
    <row r="61" spans="1:6" x14ac:dyDescent="0.25">
      <c r="A61" s="218" t="s">
        <v>174</v>
      </c>
      <c r="B61" s="218"/>
      <c r="C61" s="218"/>
      <c r="D61" s="195"/>
      <c r="E61" s="134" t="str">
        <f>IF(D87&gt;D86,расчеты!A98,"")</f>
        <v/>
      </c>
      <c r="F61" s="135"/>
    </row>
    <row r="62" spans="1:6" x14ac:dyDescent="0.25">
      <c r="A62" s="235" t="str">
        <f>IF(A60="сахарная",расчеты!A86,расчеты!A85)</f>
        <v>Раз сусло не содержит крахмал, то и ферменты нам без надобности))) Поэтому и в столбцах мы видим нули)))</v>
      </c>
      <c r="B62" s="236"/>
      <c r="C62" s="236"/>
      <c r="D62" s="237"/>
    </row>
    <row r="63" spans="1:6" x14ac:dyDescent="0.25">
      <c r="A63" s="219"/>
      <c r="B63" s="220"/>
      <c r="C63" s="220"/>
      <c r="D63" s="221"/>
    </row>
    <row r="64" spans="1:6" x14ac:dyDescent="0.25">
      <c r="A64" s="222"/>
      <c r="B64" s="223"/>
      <c r="C64" s="223"/>
      <c r="D64" s="224"/>
    </row>
    <row r="65" spans="1:4" x14ac:dyDescent="0.25">
      <c r="A65" s="193" t="s">
        <v>213</v>
      </c>
      <c r="B65" s="193"/>
      <c r="C65" s="193"/>
      <c r="D65" s="193"/>
    </row>
    <row r="66" spans="1:4" ht="28.5" customHeight="1" x14ac:dyDescent="0.25">
      <c r="A66" s="194" t="s">
        <v>109</v>
      </c>
      <c r="B66" s="194"/>
      <c r="C66" s="194"/>
      <c r="D66" s="130">
        <f>F20</f>
        <v>0</v>
      </c>
    </row>
    <row r="67" spans="1:4" ht="28.5" customHeight="1" x14ac:dyDescent="0.25">
      <c r="A67" s="194" t="s">
        <v>102</v>
      </c>
      <c r="B67" s="194"/>
      <c r="C67" s="194"/>
      <c r="D67" s="130">
        <f>F21</f>
        <v>0</v>
      </c>
    </row>
    <row r="68" spans="1:4" ht="28.5" customHeight="1" x14ac:dyDescent="0.25">
      <c r="A68" s="194" t="s">
        <v>103</v>
      </c>
      <c r="B68" s="194"/>
      <c r="C68" s="194"/>
      <c r="D68" s="130">
        <f>F22</f>
        <v>0</v>
      </c>
    </row>
    <row r="69" spans="1:4" ht="28.5" customHeight="1" x14ac:dyDescent="0.25">
      <c r="A69" s="194" t="s">
        <v>104</v>
      </c>
      <c r="B69" s="194"/>
      <c r="C69" s="194"/>
      <c r="D69" s="130">
        <f>F23</f>
        <v>0</v>
      </c>
    </row>
    <row r="70" spans="1:4" x14ac:dyDescent="0.25">
      <c r="A70" s="195" t="str">
        <f>IF(A60="солодовая",расчеты!A90,"***************")</f>
        <v>***************</v>
      </c>
      <c r="B70" s="196"/>
      <c r="C70" s="196"/>
      <c r="D70" s="197"/>
    </row>
    <row r="71" spans="1:4" x14ac:dyDescent="0.25">
      <c r="A71" s="195" t="str">
        <f>IF(A60="солодовая",расчеты!B48,"***************")</f>
        <v>***************</v>
      </c>
      <c r="B71" s="196"/>
      <c r="C71" s="196"/>
      <c r="D71" s="197"/>
    </row>
    <row r="72" spans="1:4" x14ac:dyDescent="0.25">
      <c r="A72" s="195" t="str">
        <f>IF(A60="солодовая",расчеты!A91,"***************")</f>
        <v>***************</v>
      </c>
      <c r="B72" s="196"/>
      <c r="C72" s="196"/>
      <c r="D72" s="197"/>
    </row>
    <row r="73" spans="1:4" x14ac:dyDescent="0.25">
      <c r="A73" s="195" t="str">
        <f>IF(A60="солодовая",расчеты!B49,"***************")</f>
        <v>***************</v>
      </c>
      <c r="B73" s="196"/>
      <c r="C73" s="196"/>
      <c r="D73" s="197"/>
    </row>
    <row r="74" spans="1:4" x14ac:dyDescent="0.25">
      <c r="A74" s="195" t="str">
        <f>IF(A60="солодовая",расчеты!A92,"***************")</f>
        <v>***************</v>
      </c>
      <c r="B74" s="196"/>
      <c r="C74" s="196"/>
      <c r="D74" s="197"/>
    </row>
    <row r="75" spans="1:4" x14ac:dyDescent="0.25">
      <c r="A75" s="195" t="str">
        <f>IF(A60="солодовая",расчеты!B52,"***************")</f>
        <v>***************</v>
      </c>
      <c r="B75" s="196"/>
      <c r="C75" s="196"/>
      <c r="D75" s="197"/>
    </row>
    <row r="76" spans="1:4" ht="26.25" customHeight="1" x14ac:dyDescent="0.25">
      <c r="A76" s="230" t="str">
        <f>IF(A60="солодовая",расчеты!A87,IF(A60="зерновая без солода",расчеты!A88,IF(A60="сахарная",расчеты!A89)))</f>
        <v>Как хорошо что не нужны ферменты! Меньше расходов))) Да и портятся они как говорят… Сам слышал! Во как… А сахарная брага и на НБК быстрее гонится и оборудование от нее отмывать легче… Но все же попробуйте зерновую! Она вкуснее)))))</v>
      </c>
      <c r="B76" s="230"/>
      <c r="C76" s="230"/>
      <c r="D76" s="230"/>
    </row>
    <row r="77" spans="1:4" ht="26.25" customHeight="1" x14ac:dyDescent="0.25">
      <c r="A77" s="230"/>
      <c r="B77" s="230"/>
      <c r="C77" s="230"/>
      <c r="D77" s="230"/>
    </row>
    <row r="78" spans="1:4" ht="26.25" customHeight="1" x14ac:dyDescent="0.25">
      <c r="A78" s="230"/>
      <c r="B78" s="230"/>
      <c r="C78" s="230"/>
      <c r="D78" s="230"/>
    </row>
    <row r="79" spans="1:4" ht="26.25" customHeight="1" x14ac:dyDescent="0.25">
      <c r="A79" s="230"/>
      <c r="B79" s="230"/>
      <c r="C79" s="230"/>
      <c r="D79" s="230"/>
    </row>
    <row r="80" spans="1:4" ht="26.25" customHeight="1" x14ac:dyDescent="0.25">
      <c r="A80" s="230"/>
      <c r="B80" s="230"/>
      <c r="C80" s="230"/>
      <c r="D80" s="230"/>
    </row>
    <row r="81" spans="1:4" ht="26.25" customHeight="1" x14ac:dyDescent="0.25">
      <c r="A81" s="230"/>
      <c r="B81" s="230"/>
      <c r="C81" s="230"/>
      <c r="D81" s="230"/>
    </row>
    <row r="82" spans="1:4" ht="26.25" customHeight="1" x14ac:dyDescent="0.25">
      <c r="A82" s="230"/>
      <c r="B82" s="230"/>
      <c r="C82" s="230"/>
      <c r="D82" s="230"/>
    </row>
    <row r="83" spans="1:4" ht="26.25" customHeight="1" x14ac:dyDescent="0.25">
      <c r="A83" s="230"/>
      <c r="B83" s="230"/>
      <c r="C83" s="230"/>
      <c r="D83" s="230"/>
    </row>
    <row r="84" spans="1:4" x14ac:dyDescent="0.25">
      <c r="A84" s="193" t="s">
        <v>130</v>
      </c>
      <c r="B84" s="193"/>
      <c r="C84" s="193"/>
      <c r="D84" s="193"/>
    </row>
    <row r="85" spans="1:4" x14ac:dyDescent="0.25">
      <c r="A85" s="218" t="s">
        <v>183</v>
      </c>
      <c r="B85" s="218"/>
      <c r="C85" s="218" t="str">
        <f>F4</f>
        <v>пресованные хлебопекарские</v>
      </c>
      <c r="D85" s="218"/>
    </row>
    <row r="86" spans="1:4" x14ac:dyDescent="0.25">
      <c r="A86" s="218" t="s">
        <v>184</v>
      </c>
      <c r="B86" s="218"/>
      <c r="C86" s="218"/>
      <c r="D86" s="124">
        <f>расчеты!B24</f>
        <v>12</v>
      </c>
    </row>
    <row r="87" spans="1:4" x14ac:dyDescent="0.25">
      <c r="A87" s="125" t="s">
        <v>185</v>
      </c>
      <c r="B87" s="125"/>
      <c r="C87" s="125"/>
      <c r="D87" s="127">
        <f>F15</f>
        <v>10.562475000000001</v>
      </c>
    </row>
    <row r="88" spans="1:4" x14ac:dyDescent="0.25">
      <c r="A88" s="219" t="str">
        <f>IF(D87&lt;=D86,расчеты!A94,расчеты!A93)</f>
        <v>Расчетная спиртуозность не превышает предельной для дрожжей. Должно все полно выбродить.</v>
      </c>
      <c r="B88" s="220"/>
      <c r="C88" s="220"/>
      <c r="D88" s="221"/>
    </row>
    <row r="89" spans="1:4" x14ac:dyDescent="0.25">
      <c r="A89" s="219"/>
      <c r="B89" s="220"/>
      <c r="C89" s="220"/>
      <c r="D89" s="221"/>
    </row>
    <row r="90" spans="1:4" x14ac:dyDescent="0.25">
      <c r="A90" s="219"/>
      <c r="B90" s="220"/>
      <c r="C90" s="220"/>
      <c r="D90" s="221"/>
    </row>
    <row r="91" spans="1:4" x14ac:dyDescent="0.25">
      <c r="A91" s="219"/>
      <c r="B91" s="220"/>
      <c r="C91" s="220"/>
      <c r="D91" s="221"/>
    </row>
    <row r="92" spans="1:4" x14ac:dyDescent="0.25">
      <c r="A92" s="219"/>
      <c r="B92" s="220"/>
      <c r="C92" s="220"/>
      <c r="D92" s="221"/>
    </row>
    <row r="93" spans="1:4" x14ac:dyDescent="0.25">
      <c r="A93" s="222"/>
      <c r="B93" s="223"/>
      <c r="C93" s="223"/>
      <c r="D93" s="224"/>
    </row>
    <row r="94" spans="1:4" x14ac:dyDescent="0.25">
      <c r="A94" s="218" t="s">
        <v>186</v>
      </c>
      <c r="B94" s="218"/>
      <c r="C94" s="218"/>
      <c r="D94" s="131">
        <f>F30</f>
        <v>114.28571428571429</v>
      </c>
    </row>
  </sheetData>
  <sortState ref="A27:D36">
    <sortCondition ref="A27"/>
  </sortState>
  <dataConsolidate/>
  <mergeCells count="76">
    <mergeCell ref="E52:F52"/>
    <mergeCell ref="E46:F46"/>
    <mergeCell ref="E54:F55"/>
    <mergeCell ref="A76:D83"/>
    <mergeCell ref="A70:D70"/>
    <mergeCell ref="A75:D75"/>
    <mergeCell ref="A71:D71"/>
    <mergeCell ref="E59:F59"/>
    <mergeCell ref="E60:F60"/>
    <mergeCell ref="A72:D72"/>
    <mergeCell ref="A74:D74"/>
    <mergeCell ref="A73:D73"/>
    <mergeCell ref="A61:D61"/>
    <mergeCell ref="A62:D64"/>
    <mergeCell ref="A65:D65"/>
    <mergeCell ref="A66:C66"/>
    <mergeCell ref="E56:F57"/>
    <mergeCell ref="E58:F58"/>
    <mergeCell ref="A94:C94"/>
    <mergeCell ref="A84:D84"/>
    <mergeCell ref="C85:D85"/>
    <mergeCell ref="A85:B85"/>
    <mergeCell ref="A86:C86"/>
    <mergeCell ref="A88:D93"/>
    <mergeCell ref="A69:C69"/>
    <mergeCell ref="A67:C67"/>
    <mergeCell ref="A59:D59"/>
    <mergeCell ref="A60:B60"/>
    <mergeCell ref="C60:D60"/>
    <mergeCell ref="A68:C68"/>
    <mergeCell ref="A52:C52"/>
    <mergeCell ref="A53:D53"/>
    <mergeCell ref="A54:C54"/>
    <mergeCell ref="A58:D58"/>
    <mergeCell ref="A55:D55"/>
    <mergeCell ref="A56:C56"/>
    <mergeCell ref="A57:C57"/>
    <mergeCell ref="E39:F39"/>
    <mergeCell ref="E41:F41"/>
    <mergeCell ref="E45:F45"/>
    <mergeCell ref="C21:D21"/>
    <mergeCell ref="A21:B21"/>
    <mergeCell ref="E29:F29"/>
    <mergeCell ref="A35:D35"/>
    <mergeCell ref="A34:D34"/>
    <mergeCell ref="A33:F33"/>
    <mergeCell ref="E35:F35"/>
    <mergeCell ref="E34:F34"/>
    <mergeCell ref="A50:D50"/>
    <mergeCell ref="A51:C51"/>
    <mergeCell ref="A46:D46"/>
    <mergeCell ref="A47:D47"/>
    <mergeCell ref="A48:D48"/>
    <mergeCell ref="A49:D49"/>
    <mergeCell ref="C20:D20"/>
    <mergeCell ref="A18:B18"/>
    <mergeCell ref="A19:B19"/>
    <mergeCell ref="A20:B20"/>
    <mergeCell ref="E2:F2"/>
    <mergeCell ref="E12:F12"/>
    <mergeCell ref="A2:D2"/>
    <mergeCell ref="C8:D8"/>
    <mergeCell ref="C9:D9"/>
    <mergeCell ref="C10:D10"/>
    <mergeCell ref="C11:D11"/>
    <mergeCell ref="C12:D12"/>
    <mergeCell ref="C4:D4"/>
    <mergeCell ref="C5:D5"/>
    <mergeCell ref="C3:D3"/>
    <mergeCell ref="C6:D6"/>
    <mergeCell ref="A1:F1"/>
    <mergeCell ref="C13:D13"/>
    <mergeCell ref="A14:D17"/>
    <mergeCell ref="C18:D18"/>
    <mergeCell ref="C19:D19"/>
    <mergeCell ref="C7:D7"/>
  </mergeCells>
  <conditionalFormatting sqref="B4:B13">
    <cfRule type="containsText" dxfId="2" priority="12" operator="containsText" text="сырье не выбрано">
      <formula>NOT(ISERROR(SEARCH("сырье не выбрано",B4)))</formula>
    </cfRule>
  </conditionalFormatting>
  <conditionalFormatting sqref="C4:C13">
    <cfRule type="notContainsBlanks" dxfId="1" priority="16">
      <formula>LEN(TRIM(C4))&gt;0</formula>
    </cfRule>
  </conditionalFormatting>
  <conditionalFormatting sqref="F16">
    <cfRule type="expression" dxfId="0" priority="1">
      <formula>($D$87-$D$86)&gt;0</formula>
    </cfRule>
  </conditionalFormatting>
  <dataValidations count="10">
    <dataValidation type="list" allowBlank="1" showInputMessage="1" showErrorMessage="1" sqref="F4">
      <formula1>дрожжи</formula1>
    </dataValidation>
    <dataValidation type="list" allowBlank="1" showInputMessage="1" showErrorMessage="1" sqref="E3">
      <formula1>параметры</formula1>
    </dataValidation>
    <dataValidation type="list" allowBlank="1" showInputMessage="1" showErrorMessage="1" sqref="F5">
      <formula1>пеногаситель</formula1>
    </dataValidation>
    <dataValidation type="list" allowBlank="1" showInputMessage="1" showErrorMessage="1" sqref="F6">
      <formula1>ферменты</formula1>
    </dataValidation>
    <dataValidation type="list" allowBlank="1" showInputMessage="1" showErrorMessage="1" sqref="F7">
      <formula1>возраст_ферментов</formula1>
    </dataValidation>
    <dataValidation type="list" allowBlank="1" showInputMessage="1" showErrorMessage="1" sqref="B4:B13">
      <formula1>сырье</formula1>
    </dataValidation>
    <dataValidation type="list" allowBlank="1" showInputMessage="1" showErrorMessage="1" sqref="F8">
      <formula1>тип</formula1>
    </dataValidation>
    <dataValidation type="list" allowBlank="1" showInputMessage="1" showErrorMessage="1" sqref="F9">
      <formula1>запас</formula1>
    </dataValidation>
    <dataValidation type="list" allowBlank="1" showInputMessage="1" showErrorMessage="1" sqref="F10">
      <formula1>Запас_1</formula1>
    </dataValidation>
    <dataValidation type="list" allowBlank="1" showInputMessage="1" showErrorMessage="1" sqref="F11">
      <formula1>потери_сахаров</formula1>
    </dataValidation>
  </dataValidation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65945982-DC70-4AA5-9A4C-B3D84CC8320A}">
            <x14:iconSet iconSet="4TrafficLights" custom="1">
              <x14:cfvo type="percent">
                <xm:f>0</xm:f>
              </x14:cfvo>
              <x14:cfvo type="num">
                <xm:f>2</xm:f>
              </x14:cfvo>
              <x14:cfvo type="num" gte="0">
                <xm:f>3</xm:f>
              </x14:cfvo>
              <x14:cfvo type="num" gte="0">
                <xm:f>5</xm:f>
              </x14:cfvo>
              <x14:cfIcon iconSet="4TrafficLights" iconId="0"/>
              <x14:cfIcon iconSet="3TrafficLights1" iconId="0"/>
              <x14:cfIcon iconSet="3TrafficLights1" iconId="2"/>
              <x14:cfIcon iconSet="3TrafficLights1" iconId="1"/>
            </x14:iconSet>
          </x14:cfRule>
          <xm:sqref>F16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custom" allowBlank="1" showInputMessage="1" showErrorMessage="1" errorTitle="Стоп стоп))))" error="Вы не выбрали сырье! Вот когда выберете, тогда и вес его пропишете...">
          <x14:formula1>
            <xm:f>расчеты!A100=2</xm:f>
          </x14:formula1>
          <xm:sqref>C4:C13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109"/>
  <sheetViews>
    <sheetView topLeftCell="A49" workbookViewId="0">
      <selection activeCell="B15" sqref="B15"/>
    </sheetView>
  </sheetViews>
  <sheetFormatPr defaultRowHeight="15" x14ac:dyDescent="0.25"/>
  <cols>
    <col min="1" max="1" width="67.5703125" customWidth="1"/>
    <col min="2" max="2" width="35.5703125" customWidth="1"/>
    <col min="3" max="3" width="27.85546875" customWidth="1"/>
    <col min="4" max="4" width="25.140625" customWidth="1"/>
    <col min="5" max="11" width="27.85546875" customWidth="1"/>
  </cols>
  <sheetData>
    <row r="2" spans="1:3" ht="18.75" x14ac:dyDescent="0.3">
      <c r="A2" s="238" t="s">
        <v>93</v>
      </c>
      <c r="B2" s="238"/>
    </row>
    <row r="3" spans="1:3" ht="18.75" x14ac:dyDescent="0.3">
      <c r="A3" s="18" t="s">
        <v>60</v>
      </c>
      <c r="B3" s="19">
        <f>B8*'справочные данные'!D2</f>
        <v>0.68200000000000005</v>
      </c>
      <c r="C3" s="81"/>
    </row>
    <row r="4" spans="1:3" ht="18.75" x14ac:dyDescent="0.3">
      <c r="A4" s="18" t="s">
        <v>98</v>
      </c>
      <c r="B4" s="19">
        <f>B9*'справочные данные'!D2</f>
        <v>0.60357000000000005</v>
      </c>
    </row>
    <row r="5" spans="1:3" ht="18.75" x14ac:dyDescent="0.3">
      <c r="A5" s="18" t="s">
        <v>73</v>
      </c>
      <c r="B5" s="19">
        <f>SUM(B62:K62)</f>
        <v>0</v>
      </c>
    </row>
    <row r="6" spans="1:3" ht="18.75" x14ac:dyDescent="0.3">
      <c r="A6" s="18" t="s">
        <v>90</v>
      </c>
      <c r="B6" s="19">
        <f>SUM(B61:K61)</f>
        <v>1</v>
      </c>
    </row>
    <row r="7" spans="1:3" ht="18.75" x14ac:dyDescent="0.3">
      <c r="A7" s="18" t="s">
        <v>91</v>
      </c>
      <c r="B7" s="19">
        <f>SUM(B66:K66)</f>
        <v>0</v>
      </c>
    </row>
    <row r="8" spans="1:3" ht="18.75" x14ac:dyDescent="0.3">
      <c r="A8" s="18" t="s">
        <v>92</v>
      </c>
      <c r="B8" s="44">
        <f>SUM(B67:K67)</f>
        <v>1</v>
      </c>
    </row>
    <row r="9" spans="1:3" ht="18.75" x14ac:dyDescent="0.3">
      <c r="A9" s="80" t="s">
        <v>208</v>
      </c>
      <c r="B9" s="44">
        <f>B8-((B8*'справочные данные'!C14)/100)</f>
        <v>0.88500000000000001</v>
      </c>
    </row>
    <row r="10" spans="1:3" ht="18.75" x14ac:dyDescent="0.3">
      <c r="A10" s="18" t="s">
        <v>95</v>
      </c>
      <c r="B10" s="44">
        <f>SUM(B57:K57)</f>
        <v>0.7142857142857143</v>
      </c>
    </row>
    <row r="11" spans="1:3" ht="18.75" x14ac:dyDescent="0.3">
      <c r="A11" s="43" t="s">
        <v>96</v>
      </c>
      <c r="B11" s="19">
        <f>SUM(B63:K63)</f>
        <v>0</v>
      </c>
    </row>
    <row r="12" spans="1:3" ht="18.75" x14ac:dyDescent="0.3">
      <c r="A12" s="43" t="s">
        <v>97</v>
      </c>
      <c r="B12" s="19">
        <f>SUM(B64:K64)</f>
        <v>0</v>
      </c>
    </row>
    <row r="13" spans="1:3" ht="18.75" x14ac:dyDescent="0.3">
      <c r="A13" s="43" t="s">
        <v>82</v>
      </c>
      <c r="B13" s="19">
        <f>SUM(B65:K65)</f>
        <v>0</v>
      </c>
    </row>
    <row r="14" spans="1:3" ht="18.75" x14ac:dyDescent="0.3">
      <c r="A14" s="46" t="s">
        <v>99</v>
      </c>
      <c r="B14" s="47">
        <f>SUM(B58:K58)</f>
        <v>1</v>
      </c>
    </row>
    <row r="15" spans="1:3" ht="18.75" x14ac:dyDescent="0.3">
      <c r="A15" s="46" t="s">
        <v>121</v>
      </c>
      <c r="B15" s="49">
        <f>(SUM(B69:K69))/B14</f>
        <v>1.5</v>
      </c>
    </row>
    <row r="16" spans="1:3" ht="18.75" x14ac:dyDescent="0.3">
      <c r="A16" s="46" t="s">
        <v>124</v>
      </c>
      <c r="B16" s="49">
        <f>(главная_страница!F13*(расчеты!B35/100))*расчеты!B15</f>
        <v>0.4285714285714286</v>
      </c>
    </row>
    <row r="17" spans="1:9" ht="18.75" x14ac:dyDescent="0.3">
      <c r="A17" s="46" t="s">
        <v>125</v>
      </c>
      <c r="B17" s="49">
        <f>(B15*B36)*100</f>
        <v>15.000000000000002</v>
      </c>
    </row>
    <row r="18" spans="1:9" ht="18.75" x14ac:dyDescent="0.3">
      <c r="A18" s="46" t="s">
        <v>127</v>
      </c>
      <c r="B18" s="49">
        <f>(главная_страница!F13*100)/(100-расчеты!B17)</f>
        <v>6.7226890756302522</v>
      </c>
    </row>
    <row r="19" spans="1:9" ht="18.75" x14ac:dyDescent="0.3">
      <c r="A19" s="46" t="s">
        <v>128</v>
      </c>
      <c r="B19" s="49">
        <f>(главная_страница!F13*100)/(100-B36*100)</f>
        <v>6.3492063492063497</v>
      </c>
    </row>
    <row r="20" spans="1:9" ht="18.75" x14ac:dyDescent="0.3">
      <c r="A20" s="46" t="s">
        <v>187</v>
      </c>
      <c r="B20" s="49">
        <f>B21-B10</f>
        <v>5</v>
      </c>
    </row>
    <row r="21" spans="1:9" ht="18.75" x14ac:dyDescent="0.3">
      <c r="A21" s="46" t="s">
        <v>188</v>
      </c>
      <c r="B21" s="49">
        <f>главная_страница!F13</f>
        <v>5.7142857142857144</v>
      </c>
    </row>
    <row r="22" spans="1:9" ht="18.75" x14ac:dyDescent="0.3">
      <c r="A22" s="46" t="s">
        <v>189</v>
      </c>
      <c r="B22" s="78" t="str">
        <f>главная_страница!F4</f>
        <v>пресованные хлебопекарские</v>
      </c>
    </row>
    <row r="23" spans="1:9" ht="18.75" x14ac:dyDescent="0.3">
      <c r="A23" s="46" t="s">
        <v>131</v>
      </c>
      <c r="B23" s="78">
        <f>главная_страница!F30</f>
        <v>114.28571428571429</v>
      </c>
    </row>
    <row r="24" spans="1:9" ht="18.75" x14ac:dyDescent="0.3">
      <c r="A24" s="82" t="s">
        <v>136</v>
      </c>
      <c r="B24" s="83">
        <f>VLOOKUP(B22,'справочные данные'!F11:J14,5,0)</f>
        <v>12</v>
      </c>
    </row>
    <row r="25" spans="1:9" ht="18.75" x14ac:dyDescent="0.3">
      <c r="A25" s="80" t="s">
        <v>216</v>
      </c>
      <c r="B25" s="84">
        <f>главная_страница!F15</f>
        <v>10.562475000000001</v>
      </c>
    </row>
    <row r="26" spans="1:9" ht="18.75" x14ac:dyDescent="0.3">
      <c r="A26" s="80" t="s">
        <v>217</v>
      </c>
      <c r="B26" s="85">
        <f>IF(B24&lt;B25,(B24*B21)/100,(B25*B21)/100)</f>
        <v>0.60357000000000005</v>
      </c>
    </row>
    <row r="27" spans="1:9" ht="18.75" x14ac:dyDescent="0.3">
      <c r="A27" s="80" t="s">
        <v>219</v>
      </c>
      <c r="B27" s="84">
        <f>B26/'справочные данные'!D2</f>
        <v>0.88500000000000001</v>
      </c>
    </row>
    <row r="28" spans="1:9" ht="18.75" x14ac:dyDescent="0.3">
      <c r="A28" s="80" t="s">
        <v>218</v>
      </c>
      <c r="B28" s="84">
        <f>B9-B27</f>
        <v>0</v>
      </c>
    </row>
    <row r="29" spans="1:9" ht="18.75" x14ac:dyDescent="0.3">
      <c r="A29" s="239" t="s">
        <v>110</v>
      </c>
      <c r="B29" s="240"/>
      <c r="C29" s="30" t="s">
        <v>234</v>
      </c>
      <c r="D29" s="30" t="s">
        <v>235</v>
      </c>
      <c r="E29" s="30" t="s">
        <v>236</v>
      </c>
      <c r="F29" s="30" t="s">
        <v>237</v>
      </c>
      <c r="G29" s="30" t="s">
        <v>238</v>
      </c>
      <c r="H29" s="30" t="s">
        <v>239</v>
      </c>
      <c r="I29" s="113" t="s">
        <v>240</v>
      </c>
    </row>
    <row r="30" spans="1:9" ht="18.75" x14ac:dyDescent="0.3">
      <c r="A30" s="1" t="s">
        <v>109</v>
      </c>
      <c r="B30" s="31">
        <f>B52*'справочные данные'!I5</f>
        <v>0</v>
      </c>
      <c r="C30" s="1">
        <f>IF(главная_страница!F7="свеженькие - менее 3 месяцев",'справочные данные'!O36,IF(главная_страница!F7="около полугода",'справочные данные'!O37,IF(главная_страница!F7="около года, но хранились нормально",'справочные данные'!O38,IF(главная_страница!F7="более года хранились хрен знает как)))",'справочные данные'!O39,IF(главная_страница!F7="еще от прадеда достались",'справочные данные'!O40,)))))</f>
        <v>1</v>
      </c>
      <c r="D30" s="5">
        <f>$C30*$B30</f>
        <v>0</v>
      </c>
      <c r="E30" s="114">
        <f>IF(главная_страница!F9="Заводская дозировка",'справочные данные'!O46,IF(главная_страница!F9="Запас 25%",'справочные данные'!O47,IF(главная_страница!F9="Запас 50%",'справочные данные'!O48,)))</f>
        <v>1</v>
      </c>
      <c r="F30" s="1">
        <f>$D30*$E30</f>
        <v>0</v>
      </c>
      <c r="G30" s="1">
        <f>IF(главная_страница!F8="ГОС",'справочные данные'!O43,'справочные данные'!O44)</f>
        <v>2</v>
      </c>
      <c r="H30" s="1">
        <f>$F30*$G30</f>
        <v>0</v>
      </c>
      <c r="I30" s="1">
        <f>$H30</f>
        <v>0</v>
      </c>
    </row>
    <row r="31" spans="1:9" ht="18.75" x14ac:dyDescent="0.3">
      <c r="A31" s="1" t="s">
        <v>102</v>
      </c>
      <c r="B31" s="31">
        <f>B52*'справочные данные'!I6</f>
        <v>0</v>
      </c>
      <c r="C31" s="1">
        <f>$C30</f>
        <v>1</v>
      </c>
      <c r="D31" s="5">
        <f>$C31*$B31</f>
        <v>0</v>
      </c>
      <c r="E31" s="114">
        <f>$E$30</f>
        <v>1</v>
      </c>
      <c r="F31" s="1">
        <f t="shared" ref="F31:F33" si="0">$D31*$E31</f>
        <v>0</v>
      </c>
      <c r="G31" s="1">
        <f>$G$30</f>
        <v>2</v>
      </c>
      <c r="H31" s="1">
        <f t="shared" ref="H31:H33" si="1">$F31*$G31</f>
        <v>0</v>
      </c>
      <c r="I31" s="1">
        <f t="shared" ref="I31:I33" si="2">$H31</f>
        <v>0</v>
      </c>
    </row>
    <row r="32" spans="1:9" ht="18.75" x14ac:dyDescent="0.3">
      <c r="A32" s="1" t="s">
        <v>103</v>
      </c>
      <c r="B32" s="31">
        <f>B11*'справочные данные'!I7</f>
        <v>0</v>
      </c>
      <c r="C32" s="1">
        <f t="shared" ref="C32:C33" si="3">$C31</f>
        <v>1</v>
      </c>
      <c r="D32" s="5">
        <f>$C32*$B32</f>
        <v>0</v>
      </c>
      <c r="E32" s="114">
        <f t="shared" ref="E32:E33" si="4">$E$30</f>
        <v>1</v>
      </c>
      <c r="F32" s="1">
        <f t="shared" si="0"/>
        <v>0</v>
      </c>
      <c r="G32" s="1">
        <f t="shared" ref="G32:G33" si="5">$G$30</f>
        <v>2</v>
      </c>
      <c r="H32" s="1">
        <f t="shared" si="1"/>
        <v>0</v>
      </c>
      <c r="I32" s="1">
        <f t="shared" si="2"/>
        <v>0</v>
      </c>
    </row>
    <row r="33" spans="1:9" ht="18.75" x14ac:dyDescent="0.3">
      <c r="A33" s="1" t="s">
        <v>104</v>
      </c>
      <c r="B33" s="31">
        <f>(B12+B13)*'справочные данные'!I8</f>
        <v>0</v>
      </c>
      <c r="C33" s="1">
        <f t="shared" si="3"/>
        <v>1</v>
      </c>
      <c r="D33" s="5">
        <f>$C33*$B33</f>
        <v>0</v>
      </c>
      <c r="E33" s="114">
        <f t="shared" si="4"/>
        <v>1</v>
      </c>
      <c r="F33" s="1">
        <f t="shared" si="0"/>
        <v>0</v>
      </c>
      <c r="G33" s="1">
        <f t="shared" si="5"/>
        <v>2</v>
      </c>
      <c r="H33" s="1">
        <f t="shared" si="1"/>
        <v>0</v>
      </c>
      <c r="I33" s="1">
        <f t="shared" si="2"/>
        <v>0</v>
      </c>
    </row>
    <row r="35" spans="1:9" ht="18.75" x14ac:dyDescent="0.3">
      <c r="A35" s="43" t="s">
        <v>123</v>
      </c>
      <c r="B35" s="31">
        <v>5</v>
      </c>
    </row>
    <row r="36" spans="1:9" ht="18.75" x14ac:dyDescent="0.3">
      <c r="A36" s="43" t="s">
        <v>126</v>
      </c>
      <c r="B36" s="31">
        <v>0.1</v>
      </c>
    </row>
    <row r="37" spans="1:9" ht="18.75" x14ac:dyDescent="0.3">
      <c r="A37" s="43"/>
      <c r="B37" s="31"/>
    </row>
    <row r="38" spans="1:9" ht="18.75" x14ac:dyDescent="0.3">
      <c r="A38" s="69" t="s">
        <v>131</v>
      </c>
      <c r="B38" s="70"/>
    </row>
    <row r="39" spans="1:9" ht="18.75" x14ac:dyDescent="0.3">
      <c r="A39" s="43" t="str">
        <f>главная_страница!F4</f>
        <v>пресованные хлебопекарские</v>
      </c>
      <c r="B39" s="31">
        <f>(IF(A39="пресованные хлебопекарские",'справочные данные'!E12,IF(A39="сухие хлебопекарские дрожжи",'справочные данные'!E11,IF(A39="винные дрожжи",'справочные данные'!E13,IF(A39="спиртовые дрожжи",'справочные данные'!E14,)))))*B21</f>
        <v>114.28571428571429</v>
      </c>
    </row>
    <row r="40" spans="1:9" ht="18.75" x14ac:dyDescent="0.3">
      <c r="A40" s="43" t="s">
        <v>250</v>
      </c>
      <c r="B40" s="31">
        <f>B21*'справочные данные'!G15</f>
        <v>25.828571428571426</v>
      </c>
    </row>
    <row r="41" spans="1:9" ht="18.75" x14ac:dyDescent="0.3">
      <c r="A41" s="43" t="s">
        <v>246</v>
      </c>
      <c r="B41" s="31">
        <f>IF((B40-B45)&gt;0,B40-B45,0)</f>
        <v>0</v>
      </c>
    </row>
    <row r="42" spans="1:9" ht="18.75" x14ac:dyDescent="0.3">
      <c r="A42" s="43" t="s">
        <v>248</v>
      </c>
      <c r="B42" s="31">
        <v>4</v>
      </c>
    </row>
    <row r="43" spans="1:9" ht="18.75" x14ac:dyDescent="0.3">
      <c r="A43" s="43" t="s">
        <v>249</v>
      </c>
      <c r="B43" s="119">
        <f>(B41*B42)/B40</f>
        <v>0</v>
      </c>
    </row>
    <row r="44" spans="1:9" ht="18.75" x14ac:dyDescent="0.3">
      <c r="A44" s="43" t="s">
        <v>257</v>
      </c>
      <c r="B44" s="119">
        <f>IF(главная_страница!F10="Стандартная дозировка",'справочные данные'!O50,IF(главная_страница!F10="Запас 25%",'справочные данные'!O51,IF(главная_страница!F10="Запас 50%",'справочные данные'!O52,IF(главная_страница!F10="Запас 75%",'справочные данные'!O53,IF(главная_страница!F10="Запас 100%",'справочные данные'!O54,)))))</f>
        <v>1</v>
      </c>
    </row>
    <row r="45" spans="1:9" ht="18.75" x14ac:dyDescent="0.3">
      <c r="A45" s="43" t="s">
        <v>256</v>
      </c>
      <c r="B45" s="31">
        <f>(B39*B44)</f>
        <v>114.28571428571429</v>
      </c>
    </row>
    <row r="46" spans="1:9" ht="18.75" x14ac:dyDescent="0.3">
      <c r="A46" s="43" t="s">
        <v>259</v>
      </c>
      <c r="B46" s="122" t="str">
        <f>IF(ISNA(VLOOKUP("сахар",главная_страница!B36:B45,1,0)),0,VLOOKUP("сахар",главная_страница!B36:B45,1,0))</f>
        <v>сахар</v>
      </c>
    </row>
    <row r="47" spans="1:9" ht="18.75" x14ac:dyDescent="0.3">
      <c r="A47" s="67" t="s">
        <v>153</v>
      </c>
      <c r="B47" s="68"/>
    </row>
    <row r="48" spans="1:9" ht="18.75" x14ac:dyDescent="0.3">
      <c r="A48" s="43" t="s">
        <v>154</v>
      </c>
      <c r="B48" s="31">
        <f>SUM(B71:K71)</f>
        <v>0</v>
      </c>
    </row>
    <row r="49" spans="1:11" ht="18.75" x14ac:dyDescent="0.3">
      <c r="A49" s="43" t="s">
        <v>155</v>
      </c>
      <c r="B49" s="31">
        <f>(B48*'справочные данные'!O12)/1000</f>
        <v>0</v>
      </c>
    </row>
    <row r="50" spans="1:11" ht="18.75" x14ac:dyDescent="0.3">
      <c r="A50" s="43" t="s">
        <v>158</v>
      </c>
      <c r="B50" s="31">
        <f>B5</f>
        <v>0</v>
      </c>
    </row>
    <row r="51" spans="1:11" ht="18.75" x14ac:dyDescent="0.3">
      <c r="A51" s="43" t="s">
        <v>159</v>
      </c>
      <c r="B51" s="31" t="e">
        <f>B49/B50</f>
        <v>#DIV/0!</v>
      </c>
    </row>
    <row r="52" spans="1:11" ht="18.75" x14ac:dyDescent="0.3">
      <c r="A52" s="43" t="s">
        <v>160</v>
      </c>
      <c r="B52" s="31">
        <f>IF((B50-B49)&gt;0,B50-B49,0)</f>
        <v>0</v>
      </c>
    </row>
    <row r="53" spans="1:11" ht="18.75" x14ac:dyDescent="0.3">
      <c r="A53" s="43"/>
      <c r="B53" s="31"/>
    </row>
    <row r="54" spans="1:11" ht="21.75" x14ac:dyDescent="0.5">
      <c r="A54" s="41"/>
      <c r="B54" s="42" t="s">
        <v>50</v>
      </c>
      <c r="C54" s="42" t="s">
        <v>51</v>
      </c>
      <c r="D54" s="42" t="s">
        <v>52</v>
      </c>
      <c r="E54" s="42" t="s">
        <v>53</v>
      </c>
      <c r="F54" s="42" t="s">
        <v>54</v>
      </c>
      <c r="G54" s="42" t="s">
        <v>55</v>
      </c>
      <c r="H54" s="42" t="s">
        <v>56</v>
      </c>
      <c r="I54" s="42" t="s">
        <v>57</v>
      </c>
      <c r="J54" s="42" t="s">
        <v>58</v>
      </c>
      <c r="K54" s="42" t="s">
        <v>59</v>
      </c>
    </row>
    <row r="55" spans="1:11" ht="21.75" x14ac:dyDescent="0.5">
      <c r="A55" s="32" t="s">
        <v>47</v>
      </c>
      <c r="B55" s="33" t="str">
        <f>главная_страница!$B4</f>
        <v>сахар</v>
      </c>
      <c r="C55" s="33" t="str">
        <f>главная_страница!$B5</f>
        <v>сырье не выбрано</v>
      </c>
      <c r="D55" s="33" t="str">
        <f>главная_страница!$B6</f>
        <v>сырье не выбрано</v>
      </c>
      <c r="E55" s="33" t="str">
        <f>главная_страница!$B7</f>
        <v>сырье не выбрано</v>
      </c>
      <c r="F55" s="33" t="str">
        <f>главная_страница!$B8</f>
        <v>сырье не выбрано</v>
      </c>
      <c r="G55" s="33" t="str">
        <f>главная_страница!$B9</f>
        <v>сырье не выбрано</v>
      </c>
      <c r="H55" s="33" t="str">
        <f>главная_страница!$B10</f>
        <v>сырье не выбрано</v>
      </c>
      <c r="I55" s="33" t="str">
        <f>главная_страница!$B11</f>
        <v>сырье не выбрано</v>
      </c>
      <c r="J55" s="33" t="str">
        <f>главная_страница!$B12</f>
        <v>сырье не выбрано</v>
      </c>
      <c r="K55" s="33" t="str">
        <f>главная_страница!$B13</f>
        <v>сырье не выбрано</v>
      </c>
    </row>
    <row r="56" spans="1:11" ht="21.75" x14ac:dyDescent="0.5">
      <c r="A56" s="12" t="s">
        <v>61</v>
      </c>
      <c r="B56" s="13">
        <f>VLOOKUP(B$55,'справочные данные'!$A$18:$L$41,3,0)</f>
        <v>1.4</v>
      </c>
      <c r="C56" s="13">
        <f>VLOOKUP(C$55,'справочные данные'!$A$18:$L$41,3,0)</f>
        <v>1.4</v>
      </c>
      <c r="D56" s="13">
        <f>VLOOKUP(D$55,'справочные данные'!$A$18:$L$41,3,0)</f>
        <v>1.4</v>
      </c>
      <c r="E56" s="13">
        <f>VLOOKUP(E$55,'справочные данные'!$A$18:$L$41,3,0)</f>
        <v>1.4</v>
      </c>
      <c r="F56" s="13">
        <f>VLOOKUP(F$55,'справочные данные'!$A$18:$L$41,3,0)</f>
        <v>1.4</v>
      </c>
      <c r="G56" s="13">
        <f>VLOOKUP(G$55,'справочные данные'!$A$18:$L$41,3,0)</f>
        <v>1.4</v>
      </c>
      <c r="H56" s="13">
        <f>VLOOKUP(H$55,'справочные данные'!$A$18:$L$41,3,0)</f>
        <v>1.4</v>
      </c>
      <c r="I56" s="13">
        <f>VLOOKUP(I$55,'справочные данные'!$A$18:$L$41,3,0)</f>
        <v>1.4</v>
      </c>
      <c r="J56" s="13">
        <f>VLOOKUP(J$55,'справочные данные'!$A$18:$L$41,3,0)</f>
        <v>1.4</v>
      </c>
      <c r="K56" s="13">
        <f>VLOOKUP(K$55,'справочные данные'!$A$18:$L$41,3,0)</f>
        <v>1.4</v>
      </c>
    </row>
    <row r="57" spans="1:11" ht="21.75" x14ac:dyDescent="0.5">
      <c r="A57" s="12" t="s">
        <v>94</v>
      </c>
      <c r="B57" s="14">
        <f>(1/B$56)*B$58</f>
        <v>0.7142857142857143</v>
      </c>
      <c r="C57" s="14">
        <f>(1/C$56)*C$58</f>
        <v>0</v>
      </c>
      <c r="D57" s="14">
        <f t="shared" ref="D57:K57" si="6">(1/D$56)*D$58</f>
        <v>0</v>
      </c>
      <c r="E57" s="14">
        <f t="shared" si="6"/>
        <v>0</v>
      </c>
      <c r="F57" s="14">
        <f t="shared" si="6"/>
        <v>0</v>
      </c>
      <c r="G57" s="14">
        <f t="shared" si="6"/>
        <v>0</v>
      </c>
      <c r="H57" s="14">
        <f t="shared" si="6"/>
        <v>0</v>
      </c>
      <c r="I57" s="14">
        <f t="shared" si="6"/>
        <v>0</v>
      </c>
      <c r="J57" s="14">
        <f t="shared" si="6"/>
        <v>0</v>
      </c>
      <c r="K57" s="14">
        <f t="shared" si="6"/>
        <v>0</v>
      </c>
    </row>
    <row r="58" spans="1:11" ht="21.75" x14ac:dyDescent="0.5">
      <c r="A58" s="12" t="s">
        <v>48</v>
      </c>
      <c r="B58" s="14">
        <f>IF(главная_страница!$B4="сырье не выбрано","0",главная_страница!$C4)</f>
        <v>1</v>
      </c>
      <c r="C58" s="14" t="str">
        <f>IF(главная_страница!$B5="сырье не выбрано","0",главная_страница!$C5)</f>
        <v>0</v>
      </c>
      <c r="D58" s="14" t="str">
        <f>IF(главная_страница!$B6="сырье не выбрано","0",главная_страница!$C6)</f>
        <v>0</v>
      </c>
      <c r="E58" s="14" t="str">
        <f>IF(главная_страница!$B7="сырье не выбрано","0",главная_страница!$C7)</f>
        <v>0</v>
      </c>
      <c r="F58" s="14" t="str">
        <f>IF(главная_страница!$B8="сырье не выбрано","0",главная_страница!$C8)</f>
        <v>0</v>
      </c>
      <c r="G58" s="14" t="str">
        <f>IF(главная_страница!$B9="сырье не выбрано","0",главная_страница!$C9)</f>
        <v>0</v>
      </c>
      <c r="H58" s="14" t="str">
        <f>IF(главная_страница!$B10="сырье не выбрано","0",главная_страница!$C10)</f>
        <v>0</v>
      </c>
      <c r="I58" s="14" t="str">
        <f>IF(главная_страница!$B11="сырье не выбрано","0",главная_страница!$C11)</f>
        <v>0</v>
      </c>
      <c r="J58" s="14" t="str">
        <f>IF(главная_страница!$B12="сырье не выбрано","0",главная_страница!$C12)</f>
        <v>0</v>
      </c>
      <c r="K58" s="14" t="str">
        <f>IF(главная_страница!$B13="сырье не выбрано","0",главная_страница!$C13)</f>
        <v>0</v>
      </c>
    </row>
    <row r="59" spans="1:11" ht="21.75" x14ac:dyDescent="0.5">
      <c r="A59" s="12" t="s">
        <v>29</v>
      </c>
      <c r="B59" s="15">
        <f>VLOOKUP(B$55,'справочные данные'!$A$18:$L$41,2,0)</f>
        <v>0.68200000000000005</v>
      </c>
      <c r="C59" s="15">
        <f>VLOOKUP(C$55,'справочные данные'!$A$18:$L$41,2,0)</f>
        <v>0</v>
      </c>
      <c r="D59" s="15">
        <f>VLOOKUP(D$55,'справочные данные'!$A$18:$L$41,2,0)</f>
        <v>0</v>
      </c>
      <c r="E59" s="15">
        <f>VLOOKUP(E$55,'справочные данные'!$A$18:$L$41,2,0)</f>
        <v>0</v>
      </c>
      <c r="F59" s="15">
        <f>VLOOKUP(F$55,'справочные данные'!$A$18:$L$41,2,0)</f>
        <v>0</v>
      </c>
      <c r="G59" s="15">
        <f>VLOOKUP(G$55,'справочные данные'!$A$18:$L$41,2,0)</f>
        <v>0</v>
      </c>
      <c r="H59" s="15">
        <f>VLOOKUP(H$55,'справочные данные'!$A$18:$L$41,2,0)</f>
        <v>0</v>
      </c>
      <c r="I59" s="15">
        <f>VLOOKUP(I$55,'справочные данные'!$A$18:$L$41,2,0)</f>
        <v>0</v>
      </c>
      <c r="J59" s="15">
        <f>VLOOKUP(J$55,'справочные данные'!$A$18:$L$41,2,0)</f>
        <v>0</v>
      </c>
      <c r="K59" s="15">
        <f>VLOOKUP(K$55,'справочные данные'!$A$18:$L$41,2,0)</f>
        <v>0</v>
      </c>
    </row>
    <row r="60" spans="1:11" ht="21.75" x14ac:dyDescent="0.5">
      <c r="A60" s="32" t="s">
        <v>49</v>
      </c>
      <c r="B60" s="34">
        <f>B$67*'справочные данные'!$B$20</f>
        <v>0.68200000000000005</v>
      </c>
      <c r="C60" s="34">
        <f>C$67*'справочные данные'!$B$20</f>
        <v>0</v>
      </c>
      <c r="D60" s="34">
        <f>D$67*'справочные данные'!$B$20</f>
        <v>0</v>
      </c>
      <c r="E60" s="34">
        <f>E$67*'справочные данные'!$B$20</f>
        <v>0</v>
      </c>
      <c r="F60" s="34">
        <f>F$67*'справочные данные'!$B$20</f>
        <v>0</v>
      </c>
      <c r="G60" s="34">
        <f>G$67*'справочные данные'!$B$20</f>
        <v>0</v>
      </c>
      <c r="H60" s="34">
        <f>H$67*'справочные данные'!$B$20</f>
        <v>0</v>
      </c>
      <c r="I60" s="34">
        <f>I$67*'справочные данные'!$B$20</f>
        <v>0</v>
      </c>
      <c r="J60" s="34">
        <f>J$67*'справочные данные'!$B$20</f>
        <v>0</v>
      </c>
      <c r="K60" s="34">
        <f>K$67*'справочные данные'!$B$20</f>
        <v>0</v>
      </c>
    </row>
    <row r="61" spans="1:11" ht="21.75" x14ac:dyDescent="0.5">
      <c r="A61" s="16" t="s">
        <v>65</v>
      </c>
      <c r="B61" s="15">
        <f>((VLOOKUP(B$55,'справочные данные'!$A$18:$L$41,8,0))*B$58)/100</f>
        <v>1</v>
      </c>
      <c r="C61" s="15">
        <f>((VLOOKUP(C$55,'справочные данные'!$A$18:$L$41,8,0))*C$58)/100</f>
        <v>0</v>
      </c>
      <c r="D61" s="15">
        <f>((VLOOKUP(D$55,'справочные данные'!$A$18:$L$41,8,0))*D$58)/100</f>
        <v>0</v>
      </c>
      <c r="E61" s="15">
        <f>((VLOOKUP(E$55,'справочные данные'!$A$18:$L$41,8,0))*E$58)/100</f>
        <v>0</v>
      </c>
      <c r="F61" s="15">
        <f>((VLOOKUP(F$55,'справочные данные'!$A$18:$L$41,8,0))*F$58)/100</f>
        <v>0</v>
      </c>
      <c r="G61" s="15">
        <f>((VLOOKUP(G$55,'справочные данные'!$A$18:$L$41,8,0))*G$58)/100</f>
        <v>0</v>
      </c>
      <c r="H61" s="15">
        <f>((VLOOKUP(H$55,'справочные данные'!$A$18:$L$41,8,0))*H$58)/100</f>
        <v>0</v>
      </c>
      <c r="I61" s="15">
        <f>((VLOOKUP(I$55,'справочные данные'!$A$18:$L$41,8,0))*I$58)/100</f>
        <v>0</v>
      </c>
      <c r="J61" s="15">
        <f>((VLOOKUP(J$55,'справочные данные'!$A$18:$L$41,8,0))*J$58)/100</f>
        <v>0</v>
      </c>
      <c r="K61" s="15">
        <f>((VLOOKUP(K$55,'справочные данные'!$A$18:$L$41,8,0))*K$58)/100</f>
        <v>0</v>
      </c>
    </row>
    <row r="62" spans="1:11" ht="21.75" x14ac:dyDescent="0.5">
      <c r="A62" s="16" t="s">
        <v>73</v>
      </c>
      <c r="B62" s="15">
        <f>((VLOOKUP(B$55,'справочные данные'!$A$18:$L$41,4,0))*B$58)/100</f>
        <v>0</v>
      </c>
      <c r="C62" s="15">
        <f>((VLOOKUP(C$55,'справочные данные'!$A$18:$L$41,4,0))*C$58)/100</f>
        <v>0</v>
      </c>
      <c r="D62" s="15">
        <f>((VLOOKUP(D$55,'справочные данные'!$A$18:$L$41,4,0))*D$58)/100</f>
        <v>0</v>
      </c>
      <c r="E62" s="15">
        <f>((VLOOKUP(E$55,'справочные данные'!$A$18:$L$41,4,0))*E$58)/100</f>
        <v>0</v>
      </c>
      <c r="F62" s="15">
        <f>((VLOOKUP(F$55,'справочные данные'!$A$18:$L$41,4,0))*F$58)/100</f>
        <v>0</v>
      </c>
      <c r="G62" s="15">
        <f>((VLOOKUP(G$55,'справочные данные'!$A$18:$L$41,4,0))*G$58)/100</f>
        <v>0</v>
      </c>
      <c r="H62" s="15">
        <f>((VLOOKUP(H$55,'справочные данные'!$A$18:$L$41,4,0))*H$58)/100</f>
        <v>0</v>
      </c>
      <c r="I62" s="15">
        <f>((VLOOKUP(I$55,'справочные данные'!$A$18:$L$41,4,0))*I$58)/100</f>
        <v>0</v>
      </c>
      <c r="J62" s="15">
        <f>((VLOOKUP(J$55,'справочные данные'!$A$18:$L$41,4,0))*J$58)/100</f>
        <v>0</v>
      </c>
      <c r="K62" s="15">
        <f>((VLOOKUP(K$55,'справочные данные'!$A$18:$L$41,4,0))*K$58)/100</f>
        <v>0</v>
      </c>
    </row>
    <row r="63" spans="1:11" ht="21.75" x14ac:dyDescent="0.5">
      <c r="A63" s="16" t="s">
        <v>69</v>
      </c>
      <c r="B63" s="15">
        <f>((VLOOKUP(B$55,'справочные данные'!$A$18:$L$41,5,0))*B$58)/100</f>
        <v>0</v>
      </c>
      <c r="C63" s="15">
        <f>((VLOOKUP(C$55,'справочные данные'!$A$18:$L$41,5,0))*C$58)/100</f>
        <v>0</v>
      </c>
      <c r="D63" s="15">
        <f>((VLOOKUP(D$55,'справочные данные'!$A$18:$L$41,5,0))*D$58)/100</f>
        <v>0</v>
      </c>
      <c r="E63" s="15">
        <f>((VLOOKUP(E$55,'справочные данные'!$A$18:$L$41,5,0))*E$58)/100</f>
        <v>0</v>
      </c>
      <c r="F63" s="15">
        <f>((VLOOKUP(F$55,'справочные данные'!$A$18:$L$41,5,0))*F$58)/100</f>
        <v>0</v>
      </c>
      <c r="G63" s="15">
        <f>((VLOOKUP(G$55,'справочные данные'!$A$18:$L$41,5,0))*G$58)/100</f>
        <v>0</v>
      </c>
      <c r="H63" s="15">
        <f>((VLOOKUP(H$55,'справочные данные'!$A$18:$L$41,5,0))*H$58)/100</f>
        <v>0</v>
      </c>
      <c r="I63" s="15">
        <f>((VLOOKUP(I$55,'справочные данные'!$A$18:$L$41,5,0))*I$58)/100</f>
        <v>0</v>
      </c>
      <c r="J63" s="15">
        <f>((VLOOKUP(J$55,'справочные данные'!$A$18:$L$41,5,0))*J$58)/100</f>
        <v>0</v>
      </c>
      <c r="K63" s="15">
        <f>((VLOOKUP(K$55,'справочные данные'!$A$18:$L$41,5,0))*K$58)/100</f>
        <v>0</v>
      </c>
    </row>
    <row r="64" spans="1:11" ht="21.75" x14ac:dyDescent="0.5">
      <c r="A64" s="16" t="s">
        <v>74</v>
      </c>
      <c r="B64" s="15">
        <f>((VLOOKUP(B$55,'справочные данные'!$A$18:$L$41,9,0))*B$58)/100</f>
        <v>0</v>
      </c>
      <c r="C64" s="15">
        <f>((VLOOKUP(C$55,'справочные данные'!$A$18:$L$41,9,0))*C$58)/100</f>
        <v>0</v>
      </c>
      <c r="D64" s="15">
        <f>((VLOOKUP(D$55,'справочные данные'!$A$18:$L$41,9,0))*D$58)/100</f>
        <v>0</v>
      </c>
      <c r="E64" s="15">
        <f>((VLOOKUP(E$55,'справочные данные'!$A$18:$L$41,9,0))*E$58)/100</f>
        <v>0</v>
      </c>
      <c r="F64" s="15">
        <f>((VLOOKUP(F$55,'справочные данные'!$A$18:$L$41,9,0))*F$58)/100</f>
        <v>0</v>
      </c>
      <c r="G64" s="15">
        <f>((VLOOKUP(G$55,'справочные данные'!$A$18:$L$41,9,0))*G$58)/100</f>
        <v>0</v>
      </c>
      <c r="H64" s="15">
        <f>((VLOOKUP(H$55,'справочные данные'!$A$18:$L$41,9,0))*H$58)/100</f>
        <v>0</v>
      </c>
      <c r="I64" s="15">
        <f>((VLOOKUP(I$55,'справочные данные'!$A$18:$L$41,9,0))*I$58)/100</f>
        <v>0</v>
      </c>
      <c r="J64" s="15">
        <f>((VLOOKUP(J$55,'справочные данные'!$A$18:$L$41,9,0))*J$58)/100</f>
        <v>0</v>
      </c>
      <c r="K64" s="15">
        <f>((VLOOKUP(K$55,'справочные данные'!$A$18:$L$41,9,0))*K$58)/100</f>
        <v>0</v>
      </c>
    </row>
    <row r="65" spans="1:11" ht="21.75" x14ac:dyDescent="0.5">
      <c r="A65" s="16" t="s">
        <v>82</v>
      </c>
      <c r="B65" s="15">
        <f>((VLOOKUP(B$55,'справочные данные'!$A$18:$L$41,6,0))*B$58)/100</f>
        <v>0</v>
      </c>
      <c r="C65" s="15">
        <f>((VLOOKUP(C$55,'справочные данные'!$A$18:$L$41,6,0))*C$58)/100</f>
        <v>0</v>
      </c>
      <c r="D65" s="15">
        <f>((VLOOKUP(D$55,'справочные данные'!$A$18:$L$41,6,0))*D$58)/100</f>
        <v>0</v>
      </c>
      <c r="E65" s="15">
        <f>((VLOOKUP(E$55,'справочные данные'!$A$18:$L$41,6,0))*E$58)/100</f>
        <v>0</v>
      </c>
      <c r="F65" s="15">
        <f>((VLOOKUP(F$55,'справочные данные'!$A$18:$L$41,6,0))*F$58)/100</f>
        <v>0</v>
      </c>
      <c r="G65" s="15">
        <f>((VLOOKUP(G$55,'справочные данные'!$A$18:$L$41,6,0))*G$58)/100</f>
        <v>0</v>
      </c>
      <c r="H65" s="15">
        <f>((VLOOKUP(H$55,'справочные данные'!$A$18:$L$41,6,0))*H$58)/100</f>
        <v>0</v>
      </c>
      <c r="I65" s="15">
        <f>((VLOOKUP(I$55,'справочные данные'!$A$18:$L$41,6,0))*I$58)/100</f>
        <v>0</v>
      </c>
      <c r="J65" s="15">
        <f>((VLOOKUP(J$55,'справочные данные'!$A$18:$L$41,6,0))*J$58)/100</f>
        <v>0</v>
      </c>
      <c r="K65" s="15">
        <f>((VLOOKUP(K$55,'справочные данные'!$A$18:$L$41,6,0))*K$58)/100</f>
        <v>0</v>
      </c>
    </row>
    <row r="66" spans="1:11" ht="21.75" x14ac:dyDescent="0.5">
      <c r="A66" s="16" t="s">
        <v>75</v>
      </c>
      <c r="B66" s="15">
        <f>B$62*'справочные данные'!$D$4</f>
        <v>0</v>
      </c>
      <c r="C66" s="15">
        <f>C$62*'справочные данные'!$D$4</f>
        <v>0</v>
      </c>
      <c r="D66" s="15">
        <f>D$62*'справочные данные'!$D$4</f>
        <v>0</v>
      </c>
      <c r="E66" s="15">
        <f>E$62*'справочные данные'!$D$4</f>
        <v>0</v>
      </c>
      <c r="F66" s="15">
        <f>F$62*'справочные данные'!$D$4</f>
        <v>0</v>
      </c>
      <c r="G66" s="15">
        <f>G$62*'справочные данные'!$D$4</f>
        <v>0</v>
      </c>
      <c r="H66" s="15">
        <f>H$62*'справочные данные'!$D$4</f>
        <v>0</v>
      </c>
      <c r="I66" s="15">
        <f>I$62*'справочные данные'!$D$4</f>
        <v>0</v>
      </c>
      <c r="J66" s="15">
        <f>J$62*'справочные данные'!$D$4</f>
        <v>0</v>
      </c>
      <c r="K66" s="15">
        <f>K$62*'справочные данные'!$D$4</f>
        <v>0</v>
      </c>
    </row>
    <row r="67" spans="1:11" ht="21.75" x14ac:dyDescent="0.5">
      <c r="A67" s="32" t="s">
        <v>76</v>
      </c>
      <c r="B67" s="34">
        <f>B$66+B$61</f>
        <v>1</v>
      </c>
      <c r="C67" s="34">
        <f>C$66+C$61</f>
        <v>0</v>
      </c>
      <c r="D67" s="34">
        <f t="shared" ref="D67:K67" si="7">D$66+D$61</f>
        <v>0</v>
      </c>
      <c r="E67" s="34">
        <f t="shared" si="7"/>
        <v>0</v>
      </c>
      <c r="F67" s="34">
        <f t="shared" si="7"/>
        <v>0</v>
      </c>
      <c r="G67" s="34">
        <f t="shared" si="7"/>
        <v>0</v>
      </c>
      <c r="H67" s="34">
        <f t="shared" si="7"/>
        <v>0</v>
      </c>
      <c r="I67" s="34">
        <f t="shared" si="7"/>
        <v>0</v>
      </c>
      <c r="J67" s="34">
        <f t="shared" si="7"/>
        <v>0</v>
      </c>
      <c r="K67" s="34">
        <f t="shared" si="7"/>
        <v>0</v>
      </c>
    </row>
    <row r="68" spans="1:11" ht="21.75" x14ac:dyDescent="0.5">
      <c r="A68" s="16" t="s">
        <v>120</v>
      </c>
      <c r="B68" s="52">
        <f>VLOOKUP(B$55,'справочные данные'!$A$18:$L$41,11,0)</f>
        <v>1.5</v>
      </c>
      <c r="C68" s="52">
        <f>VLOOKUP(C$55,'справочные данные'!$A$18:$L$41,11,0)</f>
        <v>1.5</v>
      </c>
      <c r="D68" s="52">
        <f>VLOOKUP(D$55,'справочные данные'!$A$18:$L$41,11,0)</f>
        <v>1.5</v>
      </c>
      <c r="E68" s="52">
        <f>VLOOKUP(E$55,'справочные данные'!$A$18:$L$41,11,0)</f>
        <v>1.5</v>
      </c>
      <c r="F68" s="52">
        <f>VLOOKUP(F$55,'справочные данные'!$A$18:$L$41,11,0)</f>
        <v>1.5</v>
      </c>
      <c r="G68" s="52">
        <f>VLOOKUP(G$55,'справочные данные'!$A$18:$L$41,11,0)</f>
        <v>1.5</v>
      </c>
      <c r="H68" s="52">
        <f>VLOOKUP(H$55,'справочные данные'!$A$18:$L$41,11,0)</f>
        <v>1.5</v>
      </c>
      <c r="I68" s="52">
        <f>VLOOKUP(I$55,'справочные данные'!$A$18:$L$41,11,0)</f>
        <v>1.5</v>
      </c>
      <c r="J68" s="52">
        <f>VLOOKUP(J$55,'справочные данные'!$A$18:$L$41,11,0)</f>
        <v>1.5</v>
      </c>
      <c r="K68" s="52">
        <f>VLOOKUP(K$55,'справочные данные'!$A$18:$L$41,11,0)</f>
        <v>1.5</v>
      </c>
    </row>
    <row r="69" spans="1:11" ht="21.75" x14ac:dyDescent="0.5">
      <c r="A69" s="50" t="s">
        <v>122</v>
      </c>
      <c r="B69" s="51">
        <f>B$68*B$58</f>
        <v>1.5</v>
      </c>
      <c r="C69" s="51">
        <f t="shared" ref="C69:K69" si="8">C$68*C$58</f>
        <v>0</v>
      </c>
      <c r="D69" s="51">
        <f t="shared" si="8"/>
        <v>0</v>
      </c>
      <c r="E69" s="51">
        <f t="shared" si="8"/>
        <v>0</v>
      </c>
      <c r="F69" s="51">
        <f t="shared" si="8"/>
        <v>0</v>
      </c>
      <c r="G69" s="51">
        <f t="shared" si="8"/>
        <v>0</v>
      </c>
      <c r="H69" s="51">
        <f t="shared" si="8"/>
        <v>0</v>
      </c>
      <c r="I69" s="51">
        <f t="shared" si="8"/>
        <v>0</v>
      </c>
      <c r="J69" s="51">
        <f t="shared" si="8"/>
        <v>0</v>
      </c>
      <c r="K69" s="51">
        <f t="shared" si="8"/>
        <v>0</v>
      </c>
    </row>
    <row r="70" spans="1:11" ht="21.75" x14ac:dyDescent="0.5">
      <c r="A70" s="32" t="s">
        <v>145</v>
      </c>
      <c r="B70" s="30">
        <f>VLOOKUP(B$55,'справочные данные'!$A$18:$L$41,12,0)</f>
        <v>0</v>
      </c>
      <c r="C70" s="30">
        <f>VLOOKUP(C$55,'справочные данные'!$A$18:$L$41,12,0)</f>
        <v>0</v>
      </c>
      <c r="D70" s="30">
        <f>VLOOKUP(D$55,'справочные данные'!$A$18:$L$41,12,0)</f>
        <v>0</v>
      </c>
      <c r="E70" s="30">
        <f>VLOOKUP(E$55,'справочные данные'!$A$18:$L$41,12,0)</f>
        <v>0</v>
      </c>
      <c r="F70" s="30">
        <f>VLOOKUP(F$55,'справочные данные'!$A$18:$L$41,12,0)</f>
        <v>0</v>
      </c>
      <c r="G70" s="30">
        <f>VLOOKUP(G$55,'справочные данные'!$A$18:$L$41,12,0)</f>
        <v>0</v>
      </c>
      <c r="H70" s="30">
        <f>VLOOKUP(H$55,'справочные данные'!$A$18:$L$41,12,0)</f>
        <v>0</v>
      </c>
      <c r="I70" s="30">
        <f>VLOOKUP(I$55,'справочные данные'!$A$18:$L$41,12,0)</f>
        <v>0</v>
      </c>
      <c r="J70" s="30">
        <f>VLOOKUP(J$55,'справочные данные'!$A$18:$L$41,12,0)</f>
        <v>0</v>
      </c>
      <c r="K70" s="30">
        <f>VLOOKUP(K$55,'справочные данные'!$A$18:$L$41,12,0)</f>
        <v>0</v>
      </c>
    </row>
    <row r="71" spans="1:11" ht="21.75" x14ac:dyDescent="0.5">
      <c r="A71" s="71" t="s">
        <v>152</v>
      </c>
      <c r="B71" s="58">
        <f>(B$70*1000)*B$58</f>
        <v>0</v>
      </c>
      <c r="C71" s="58">
        <f t="shared" ref="C71:K71" si="9">(C$70*1000)*C$58</f>
        <v>0</v>
      </c>
      <c r="D71" s="58">
        <f t="shared" si="9"/>
        <v>0</v>
      </c>
      <c r="E71" s="58">
        <f t="shared" si="9"/>
        <v>0</v>
      </c>
      <c r="F71" s="58">
        <f t="shared" si="9"/>
        <v>0</v>
      </c>
      <c r="G71" s="58">
        <f t="shared" si="9"/>
        <v>0</v>
      </c>
      <c r="H71" s="58">
        <f t="shared" si="9"/>
        <v>0</v>
      </c>
      <c r="I71" s="58">
        <f t="shared" si="9"/>
        <v>0</v>
      </c>
      <c r="J71" s="58">
        <f t="shared" si="9"/>
        <v>0</v>
      </c>
      <c r="K71" s="58">
        <f t="shared" si="9"/>
        <v>0</v>
      </c>
    </row>
    <row r="73" spans="1:11" ht="18.75" x14ac:dyDescent="0.3">
      <c r="A73" s="48"/>
    </row>
    <row r="74" spans="1:11" x14ac:dyDescent="0.25">
      <c r="A74" s="1" t="s">
        <v>169</v>
      </c>
      <c r="B74" s="35">
        <f>B48</f>
        <v>0</v>
      </c>
      <c r="C74" s="1">
        <f>IF(B74&lt;=0,0,1)</f>
        <v>0</v>
      </c>
      <c r="D74" s="1" t="str">
        <f>IF(C78=0,"сахарная",IF(C78=1,"зерновая без солода",IF(C78=3,"солодовая")))</f>
        <v>сахарная</v>
      </c>
      <c r="E74" s="1" t="str">
        <f>IF(ISNA(IF(B79&gt;0,"с добавкой сахара","")),"",IF(B79&gt;0,"с добавкой сахара",""))</f>
        <v/>
      </c>
    </row>
    <row r="75" spans="1:11" x14ac:dyDescent="0.25">
      <c r="A75" s="1" t="s">
        <v>170</v>
      </c>
      <c r="B75" s="35">
        <f>B5</f>
        <v>0</v>
      </c>
      <c r="C75" s="1">
        <f>IF(B75&gt;0,1,0)</f>
        <v>0</v>
      </c>
      <c r="D75" s="1"/>
    </row>
    <row r="76" spans="1:11" x14ac:dyDescent="0.25">
      <c r="A76" s="1"/>
      <c r="B76" s="35">
        <f>SUM(B74:B75)</f>
        <v>0</v>
      </c>
      <c r="C76" s="1">
        <f>IF((B75+B74)&gt;B75,1,0)</f>
        <v>0</v>
      </c>
      <c r="D76" s="1"/>
    </row>
    <row r="77" spans="1:11" x14ac:dyDescent="0.25">
      <c r="A77" s="1" t="s">
        <v>26</v>
      </c>
      <c r="B77" s="1">
        <f>VLOOKUP(A77,главная_страница!B4:C13,2,0)</f>
        <v>1</v>
      </c>
      <c r="D77" s="1"/>
    </row>
    <row r="78" spans="1:11" x14ac:dyDescent="0.25">
      <c r="A78" s="1"/>
      <c r="B78" s="1">
        <f>IF(C78=0,-B77,0)</f>
        <v>-1</v>
      </c>
      <c r="C78" s="77">
        <f>SUM(C74:C77)</f>
        <v>0</v>
      </c>
      <c r="D78" s="1"/>
    </row>
    <row r="79" spans="1:11" x14ac:dyDescent="0.25">
      <c r="A79" s="76"/>
      <c r="B79" s="76">
        <f>SUM(B77:B78)</f>
        <v>0</v>
      </c>
    </row>
    <row r="80" spans="1:11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t="s">
        <v>176</v>
      </c>
    </row>
    <row r="86" spans="1:2" x14ac:dyDescent="0.25">
      <c r="A86" t="s">
        <v>175</v>
      </c>
    </row>
    <row r="87" spans="1:2" x14ac:dyDescent="0.25">
      <c r="A87" t="s">
        <v>177</v>
      </c>
    </row>
    <row r="88" spans="1:2" x14ac:dyDescent="0.25">
      <c r="A88" t="s">
        <v>178</v>
      </c>
    </row>
    <row r="89" spans="1:2" x14ac:dyDescent="0.25">
      <c r="A89" s="79" t="s">
        <v>192</v>
      </c>
    </row>
    <row r="90" spans="1:2" x14ac:dyDescent="0.25">
      <c r="A90" t="s">
        <v>179</v>
      </c>
    </row>
    <row r="91" spans="1:2" x14ac:dyDescent="0.25">
      <c r="A91" t="s">
        <v>180</v>
      </c>
    </row>
    <row r="92" spans="1:2" x14ac:dyDescent="0.25">
      <c r="A92" t="s">
        <v>181</v>
      </c>
    </row>
    <row r="93" spans="1:2" x14ac:dyDescent="0.25">
      <c r="A93" t="s">
        <v>190</v>
      </c>
    </row>
    <row r="94" spans="1:2" x14ac:dyDescent="0.25">
      <c r="A94" t="s">
        <v>191</v>
      </c>
    </row>
    <row r="95" spans="1:2" x14ac:dyDescent="0.25">
      <c r="A95" t="s">
        <v>221</v>
      </c>
    </row>
    <row r="96" spans="1:2" x14ac:dyDescent="0.25">
      <c r="A96" t="s">
        <v>220</v>
      </c>
    </row>
    <row r="97" spans="1:1" x14ac:dyDescent="0.25">
      <c r="A97" t="s">
        <v>222</v>
      </c>
    </row>
    <row r="98" spans="1:1" x14ac:dyDescent="0.25">
      <c r="A98" t="s">
        <v>223</v>
      </c>
    </row>
    <row r="100" spans="1:1" x14ac:dyDescent="0.25">
      <c r="A100">
        <f>IF(главная_страница!$B4="сырье не выбрано",1,2)</f>
        <v>2</v>
      </c>
    </row>
    <row r="101" spans="1:1" x14ac:dyDescent="0.25">
      <c r="A101">
        <f>IF(главная_страница!$B5="сырье не выбрано",1,2)</f>
        <v>1</v>
      </c>
    </row>
    <row r="102" spans="1:1" x14ac:dyDescent="0.25">
      <c r="A102">
        <f>IF(главная_страница!$B6="сырье не выбрано",1,2)</f>
        <v>1</v>
      </c>
    </row>
    <row r="103" spans="1:1" x14ac:dyDescent="0.25">
      <c r="A103">
        <f>IF(главная_страница!$B7="сырье не выбрано",1,2)</f>
        <v>1</v>
      </c>
    </row>
    <row r="104" spans="1:1" x14ac:dyDescent="0.25">
      <c r="A104">
        <f>IF(главная_страница!$B8="сырье не выбрано",1,2)</f>
        <v>1</v>
      </c>
    </row>
    <row r="105" spans="1:1" x14ac:dyDescent="0.25">
      <c r="A105">
        <f>IF(главная_страница!$B9="сырье не выбрано",1,2)</f>
        <v>1</v>
      </c>
    </row>
    <row r="106" spans="1:1" x14ac:dyDescent="0.25">
      <c r="A106">
        <f>IF(главная_страница!$B10="сырье не выбрано",1,2)</f>
        <v>1</v>
      </c>
    </row>
    <row r="107" spans="1:1" x14ac:dyDescent="0.25">
      <c r="A107">
        <f>IF(главная_страница!$B11="сырье не выбрано",1,2)</f>
        <v>1</v>
      </c>
    </row>
    <row r="108" spans="1:1" x14ac:dyDescent="0.25">
      <c r="A108">
        <f>IF(главная_страница!$B12="сырье не выбрано",1,2)</f>
        <v>1</v>
      </c>
    </row>
    <row r="109" spans="1:1" x14ac:dyDescent="0.25">
      <c r="A109">
        <f>IF(главная_страница!$B13="сырье не выбрано",1,2)</f>
        <v>1</v>
      </c>
    </row>
  </sheetData>
  <mergeCells count="2">
    <mergeCell ref="A2:B2"/>
    <mergeCell ref="A29:B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11</vt:i4>
      </vt:variant>
    </vt:vector>
  </HeadingPairs>
  <TitlesOfParts>
    <vt:vector size="14" baseType="lpstr">
      <vt:lpstr>справочные данные</vt:lpstr>
      <vt:lpstr>главная_страница</vt:lpstr>
      <vt:lpstr>расчеты</vt:lpstr>
      <vt:lpstr>возраст_ферментов</vt:lpstr>
      <vt:lpstr>дрожжи</vt:lpstr>
      <vt:lpstr>запас</vt:lpstr>
      <vt:lpstr>Запас_1</vt:lpstr>
      <vt:lpstr>главная_страница!Критерии</vt:lpstr>
      <vt:lpstr>параметры</vt:lpstr>
      <vt:lpstr>пеногаситель</vt:lpstr>
      <vt:lpstr>потери_сахаров</vt:lpstr>
      <vt:lpstr>сырье</vt:lpstr>
      <vt:lpstr>тип</vt:lpstr>
      <vt:lpstr>ферменты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2015-09-30T09:11:15Z</dcterms:modified>
</cp:coreProperties>
</file>