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3040" windowHeight="10668" firstSheet="7" activeTab="10"/>
  </bookViews>
  <sheets>
    <sheet name="исходные данные" sheetId="1" r:id="rId1"/>
    <sheet name="расчеты(проба)" sheetId="2" r:id="rId2"/>
    <sheet name="Диаграмма Y" sheetId="3" r:id="rId3"/>
    <sheet name="Диаграмма Z" sheetId="4" r:id="rId4"/>
    <sheet name="Диаграмма АА" sheetId="5" r:id="rId5"/>
    <sheet name="Диаграмма АВ" sheetId="6" r:id="rId6"/>
    <sheet name="Диаграмма АС" sheetId="7" r:id="rId7"/>
    <sheet name="Формулы для расчётов" sheetId="8" r:id="rId8"/>
    <sheet name="стат. параметры" sheetId="9" r:id="rId9"/>
    <sheet name="Физ. величины для расчетов" sheetId="10" r:id="rId10"/>
    <sheet name="Теплопотери(mekkaod)" sheetId="11" r:id="rId11"/>
    <sheet name="Лист17" sheetId="12" state="hidden" r:id="rId12"/>
    <sheet name="Лист18" sheetId="13" state="hidden" r:id="rId13"/>
  </sheets>
  <definedNames>
    <definedName name="ИменованныйДиапазон1">'исходные данные'!$A$1:$AL$1</definedName>
    <definedName name="ИменованныйДиапазон2">'Формулы для расчётов'!$D$4</definedName>
    <definedName name="ИменованныйДиапазон3">'Формулы для расчётов'!$D$1:$D$4</definedName>
    <definedName name="ИменованныйДиапазон4">'Формулы для расчётов'!$D$2</definedName>
  </definedNames>
  <calcPr calcId="152511"/>
</workbook>
</file>

<file path=xl/calcChain.xml><?xml version="1.0" encoding="utf-8"?>
<calcChain xmlns="http://schemas.openxmlformats.org/spreadsheetml/2006/main">
  <c r="D11" i="13" l="1"/>
  <c r="D10" i="13"/>
  <c r="D9" i="13"/>
  <c r="D8" i="13"/>
  <c r="D7" i="13"/>
  <c r="D6" i="13"/>
  <c r="D5" i="13"/>
  <c r="D4" i="13"/>
  <c r="D3" i="13"/>
  <c r="D2" i="13"/>
  <c r="L29" i="12"/>
  <c r="K29" i="12"/>
  <c r="M29" i="12" s="1"/>
  <c r="F29" i="12"/>
  <c r="L28" i="12"/>
  <c r="K28" i="12"/>
  <c r="M28" i="12" s="1"/>
  <c r="F28" i="12"/>
  <c r="L27" i="12"/>
  <c r="K27" i="12"/>
  <c r="M27" i="12" s="1"/>
  <c r="F27" i="12"/>
  <c r="M26" i="12"/>
  <c r="L26" i="12"/>
  <c r="K26" i="12"/>
  <c r="F26" i="12"/>
  <c r="L25" i="12"/>
  <c r="K25" i="12"/>
  <c r="M25" i="12" s="1"/>
  <c r="F25" i="12"/>
  <c r="M24" i="12"/>
  <c r="L24" i="12"/>
  <c r="K24" i="12"/>
  <c r="F24" i="12"/>
  <c r="L23" i="12"/>
  <c r="K23" i="12"/>
  <c r="M23" i="12" s="1"/>
  <c r="F23" i="12"/>
  <c r="M22" i="12"/>
  <c r="L22" i="12"/>
  <c r="K22" i="12"/>
  <c r="F22" i="12"/>
  <c r="L21" i="12"/>
  <c r="K21" i="12"/>
  <c r="M21" i="12" s="1"/>
  <c r="F21" i="12"/>
  <c r="M20" i="12"/>
  <c r="L20" i="12"/>
  <c r="K20" i="12"/>
  <c r="F20" i="12"/>
  <c r="L19" i="12"/>
  <c r="K19" i="12"/>
  <c r="M19" i="12" s="1"/>
  <c r="F19" i="12"/>
  <c r="M18" i="12"/>
  <c r="L18" i="12"/>
  <c r="K18" i="12"/>
  <c r="F18" i="12"/>
  <c r="L17" i="12"/>
  <c r="K17" i="12"/>
  <c r="M17" i="12" s="1"/>
  <c r="F17" i="12"/>
  <c r="M16" i="12"/>
  <c r="L16" i="12"/>
  <c r="K16" i="12"/>
  <c r="F16" i="12"/>
  <c r="L15" i="12"/>
  <c r="K15" i="12"/>
  <c r="M15" i="12" s="1"/>
  <c r="F15" i="12"/>
  <c r="M14" i="12"/>
  <c r="L14" i="12"/>
  <c r="K14" i="12"/>
  <c r="F14" i="12"/>
  <c r="L13" i="12"/>
  <c r="K13" i="12"/>
  <c r="M13" i="12" s="1"/>
  <c r="F13" i="12"/>
  <c r="M12" i="12"/>
  <c r="L12" i="12"/>
  <c r="K12" i="12"/>
  <c r="F12" i="12"/>
  <c r="L11" i="12"/>
  <c r="K11" i="12"/>
  <c r="M11" i="12" s="1"/>
  <c r="F11" i="12"/>
  <c r="M10" i="12"/>
  <c r="L10" i="12"/>
  <c r="K10" i="12"/>
  <c r="F10" i="12"/>
  <c r="L9" i="12"/>
  <c r="K9" i="12"/>
  <c r="M9" i="12" s="1"/>
  <c r="F9" i="12"/>
  <c r="M8" i="12"/>
  <c r="L8" i="12"/>
  <c r="K8" i="12"/>
  <c r="F8" i="12"/>
  <c r="L7" i="12"/>
  <c r="K7" i="12"/>
  <c r="M7" i="12" s="1"/>
  <c r="F7" i="12"/>
  <c r="M6" i="12"/>
  <c r="L6" i="12"/>
  <c r="K6" i="12"/>
  <c r="F6" i="12"/>
  <c r="L5" i="12"/>
  <c r="K5" i="12"/>
  <c r="M5" i="12" s="1"/>
  <c r="F5" i="12"/>
  <c r="M4" i="12"/>
  <c r="L4" i="12"/>
  <c r="K4" i="12"/>
  <c r="F4" i="12"/>
  <c r="L3" i="12"/>
  <c r="K3" i="12"/>
  <c r="M3" i="12" s="1"/>
  <c r="F3" i="12"/>
  <c r="M2" i="12"/>
  <c r="L2" i="12"/>
  <c r="K2" i="12"/>
  <c r="F2" i="12"/>
  <c r="E25" i="11"/>
  <c r="F25" i="11" s="1"/>
  <c r="D25" i="11"/>
  <c r="F24" i="11"/>
  <c r="G24" i="11" s="1"/>
  <c r="E24" i="11"/>
  <c r="D24" i="11"/>
  <c r="E23" i="11"/>
  <c r="E22" i="11"/>
  <c r="F22" i="11" s="1"/>
  <c r="G22" i="11" s="1"/>
  <c r="D22" i="11"/>
  <c r="G21" i="11"/>
  <c r="F21" i="11"/>
  <c r="E21" i="11"/>
  <c r="D21" i="11"/>
  <c r="E20" i="11"/>
  <c r="F20" i="11" s="1"/>
  <c r="G20" i="11" s="1"/>
  <c r="D20" i="11"/>
  <c r="G19" i="11"/>
  <c r="F19" i="11"/>
  <c r="E19" i="11"/>
  <c r="D19" i="11"/>
  <c r="E18" i="11"/>
  <c r="F18" i="11" s="1"/>
  <c r="G18" i="11" s="1"/>
  <c r="D18" i="11"/>
  <c r="G16" i="11"/>
  <c r="E16" i="11"/>
  <c r="F16" i="11" s="1"/>
  <c r="D16" i="11"/>
  <c r="E15" i="11"/>
  <c r="F15" i="11" s="1"/>
  <c r="G15" i="11" s="1"/>
  <c r="D15" i="11"/>
  <c r="E14" i="11"/>
  <c r="F14" i="11" s="1"/>
  <c r="G14" i="11" s="1"/>
  <c r="D14" i="11"/>
  <c r="E13" i="11"/>
  <c r="F13" i="11" s="1"/>
  <c r="G13" i="11" s="1"/>
  <c r="D13" i="11"/>
  <c r="E12" i="11"/>
  <c r="F12" i="11" s="1"/>
  <c r="G12" i="11" s="1"/>
  <c r="D12" i="11"/>
  <c r="E11" i="11"/>
  <c r="F11" i="11" s="1"/>
  <c r="G11" i="11" s="1"/>
  <c r="D11" i="11"/>
  <c r="E10" i="11"/>
  <c r="F10" i="11" s="1"/>
  <c r="G10" i="11" s="1"/>
  <c r="D10" i="11"/>
  <c r="E9" i="11"/>
  <c r="F9" i="11" s="1"/>
  <c r="G9" i="11" s="1"/>
  <c r="D9" i="11"/>
  <c r="E8" i="11"/>
  <c r="F8" i="11" s="1"/>
  <c r="G8" i="11" s="1"/>
  <c r="D8" i="11"/>
  <c r="E7" i="11"/>
  <c r="F7" i="11" s="1"/>
  <c r="G7" i="11" s="1"/>
  <c r="D7" i="11"/>
  <c r="E6" i="11"/>
  <c r="F6" i="11" s="1"/>
  <c r="G6" i="11" s="1"/>
  <c r="D6" i="11"/>
  <c r="E5" i="11"/>
  <c r="F5" i="11" s="1"/>
  <c r="G5" i="11" s="1"/>
  <c r="D5" i="11"/>
  <c r="G4" i="11"/>
  <c r="E4" i="11"/>
  <c r="F4" i="11" s="1"/>
  <c r="D4" i="11"/>
  <c r="E3" i="11"/>
  <c r="F3" i="11" s="1"/>
  <c r="G3" i="11" s="1"/>
  <c r="D3" i="11"/>
  <c r="E1" i="11"/>
  <c r="D8" i="9"/>
  <c r="D4" i="9"/>
  <c r="D5" i="9" s="1"/>
  <c r="D6" i="9" s="1"/>
  <c r="D18" i="8"/>
  <c r="D17" i="8"/>
  <c r="D16" i="8"/>
  <c r="D15" i="8"/>
  <c r="D14" i="8"/>
  <c r="D13" i="8"/>
  <c r="D12" i="8"/>
  <c r="D11" i="8"/>
  <c r="D10" i="8"/>
  <c r="C8" i="8"/>
  <c r="D8" i="8" s="1"/>
  <c r="D5" i="8"/>
  <c r="D4" i="8"/>
  <c r="E2" i="8"/>
  <c r="D2" i="8"/>
  <c r="B33" i="2"/>
  <c r="Y32" i="2"/>
  <c r="X32" i="2"/>
  <c r="U32" i="2"/>
  <c r="P32" i="2"/>
  <c r="S32" i="2" s="1"/>
  <c r="O32" i="2"/>
  <c r="M32" i="2"/>
  <c r="L32" i="2"/>
  <c r="C32" i="2" s="1"/>
  <c r="E32" i="2" s="1"/>
  <c r="K32" i="2"/>
  <c r="B32" i="2"/>
  <c r="Y31" i="2"/>
  <c r="X31" i="2"/>
  <c r="S31" i="2"/>
  <c r="P31" i="2"/>
  <c r="M31" i="2"/>
  <c r="K31" i="2"/>
  <c r="B31" i="2"/>
  <c r="Y30" i="2"/>
  <c r="X30" i="2"/>
  <c r="U30" i="2"/>
  <c r="T30" i="2"/>
  <c r="S30" i="2"/>
  <c r="R30" i="2"/>
  <c r="P30" i="2"/>
  <c r="O30" i="2"/>
  <c r="N30" i="2"/>
  <c r="M30" i="2"/>
  <c r="L30" i="2"/>
  <c r="C30" i="2" s="1"/>
  <c r="K30" i="2"/>
  <c r="G30" i="2"/>
  <c r="F30" i="2"/>
  <c r="B30" i="2"/>
  <c r="A30" i="2"/>
  <c r="AB29" i="2"/>
  <c r="AA29" i="2"/>
  <c r="Z29" i="2"/>
  <c r="Y29" i="2"/>
  <c r="X29" i="2"/>
  <c r="P29" i="2"/>
  <c r="N29" i="2"/>
  <c r="M29" i="2"/>
  <c r="L29" i="2"/>
  <c r="C29" i="2" s="1"/>
  <c r="E29" i="2" s="1"/>
  <c r="K29" i="2"/>
  <c r="O29" i="2" s="1"/>
  <c r="D29" i="2"/>
  <c r="B29" i="2"/>
  <c r="A29" i="2"/>
  <c r="AA28" i="2"/>
  <c r="Z28" i="2"/>
  <c r="Y28" i="2"/>
  <c r="X28" i="2"/>
  <c r="P28" i="2"/>
  <c r="S28" i="2" s="1"/>
  <c r="M28" i="2"/>
  <c r="K28" i="2"/>
  <c r="B28" i="2"/>
  <c r="A28" i="2"/>
  <c r="AA27" i="2"/>
  <c r="Z27" i="2"/>
  <c r="Y27" i="2"/>
  <c r="X27" i="2"/>
  <c r="U27" i="2"/>
  <c r="S27" i="2"/>
  <c r="R27" i="2"/>
  <c r="G27" i="2" s="1"/>
  <c r="P27" i="2"/>
  <c r="M27" i="2"/>
  <c r="O27" i="2" s="1"/>
  <c r="L27" i="2"/>
  <c r="K27" i="2"/>
  <c r="B27" i="2"/>
  <c r="A27" i="2"/>
  <c r="AA26" i="2"/>
  <c r="Z26" i="2"/>
  <c r="Y26" i="2"/>
  <c r="X26" i="2"/>
  <c r="U26" i="2"/>
  <c r="T26" i="2"/>
  <c r="S26" i="2"/>
  <c r="R26" i="2"/>
  <c r="P26" i="2"/>
  <c r="O26" i="2"/>
  <c r="M26" i="2"/>
  <c r="L26" i="2"/>
  <c r="K26" i="2"/>
  <c r="G26" i="2"/>
  <c r="F26" i="2"/>
  <c r="D26" i="2"/>
  <c r="B26" i="2"/>
  <c r="A26" i="2"/>
  <c r="AA25" i="2"/>
  <c r="Z25" i="2"/>
  <c r="Y25" i="2"/>
  <c r="X25" i="2"/>
  <c r="P25" i="2"/>
  <c r="O25" i="2"/>
  <c r="N25" i="2"/>
  <c r="M25" i="2"/>
  <c r="K25" i="2"/>
  <c r="L25" i="2" s="1"/>
  <c r="B25" i="2"/>
  <c r="A25" i="2"/>
  <c r="AA24" i="2"/>
  <c r="Z24" i="2"/>
  <c r="Y24" i="2"/>
  <c r="X24" i="2"/>
  <c r="S24" i="2"/>
  <c r="P24" i="2"/>
  <c r="M24" i="2"/>
  <c r="K24" i="2"/>
  <c r="B24" i="2"/>
  <c r="A24" i="2"/>
  <c r="AA23" i="2"/>
  <c r="Z23" i="2"/>
  <c r="Y23" i="2"/>
  <c r="X23" i="2"/>
  <c r="U23" i="2"/>
  <c r="T23" i="2"/>
  <c r="S23" i="2"/>
  <c r="R23" i="2"/>
  <c r="G23" i="2" s="1"/>
  <c r="P23" i="2"/>
  <c r="M23" i="2"/>
  <c r="L23" i="2"/>
  <c r="K23" i="2"/>
  <c r="O23" i="2" s="1"/>
  <c r="D23" i="2"/>
  <c r="B23" i="2"/>
  <c r="A23" i="2"/>
  <c r="AA22" i="2"/>
  <c r="Z22" i="2"/>
  <c r="Y22" i="2"/>
  <c r="X22" i="2"/>
  <c r="U22" i="2"/>
  <c r="T22" i="2"/>
  <c r="S22" i="2"/>
  <c r="R22" i="2"/>
  <c r="P22" i="2"/>
  <c r="O22" i="2"/>
  <c r="N22" i="2"/>
  <c r="M22" i="2"/>
  <c r="L22" i="2"/>
  <c r="K22" i="2"/>
  <c r="G22" i="2"/>
  <c r="F22" i="2"/>
  <c r="B22" i="2"/>
  <c r="A22" i="2"/>
  <c r="AA21" i="2"/>
  <c r="Z21" i="2"/>
  <c r="Y21" i="2"/>
  <c r="X21" i="2"/>
  <c r="R21" i="2"/>
  <c r="P21" i="2"/>
  <c r="O21" i="2"/>
  <c r="M21" i="2"/>
  <c r="K21" i="2"/>
  <c r="L21" i="2" s="1"/>
  <c r="F21" i="2"/>
  <c r="B21" i="2"/>
  <c r="A21" i="2"/>
  <c r="AA20" i="2"/>
  <c r="Z20" i="2"/>
  <c r="Y20" i="2"/>
  <c r="X20" i="2"/>
  <c r="R20" i="2"/>
  <c r="P20" i="2"/>
  <c r="O20" i="2"/>
  <c r="M20" i="2"/>
  <c r="K20" i="2"/>
  <c r="L20" i="2" s="1"/>
  <c r="F20" i="2"/>
  <c r="B20" i="2"/>
  <c r="A20" i="2"/>
  <c r="AA19" i="2"/>
  <c r="Z19" i="2"/>
  <c r="Y19" i="2"/>
  <c r="X19" i="2"/>
  <c r="P19" i="2"/>
  <c r="S19" i="2" s="1"/>
  <c r="M19" i="2"/>
  <c r="K19" i="2"/>
  <c r="B19" i="2"/>
  <c r="A19" i="2"/>
  <c r="AA18" i="2"/>
  <c r="Z18" i="2"/>
  <c r="Y18" i="2"/>
  <c r="X18" i="2"/>
  <c r="U18" i="2"/>
  <c r="T18" i="2"/>
  <c r="S18" i="2"/>
  <c r="R18" i="2"/>
  <c r="G18" i="2" s="1"/>
  <c r="P18" i="2"/>
  <c r="M18" i="2"/>
  <c r="L18" i="2"/>
  <c r="K18" i="2"/>
  <c r="B18" i="2"/>
  <c r="A18" i="2"/>
  <c r="AA17" i="2"/>
  <c r="Z17" i="2"/>
  <c r="Y17" i="2"/>
  <c r="X17" i="2"/>
  <c r="U17" i="2"/>
  <c r="T17" i="2"/>
  <c r="S17" i="2"/>
  <c r="R17" i="2"/>
  <c r="P17" i="2"/>
  <c r="O17" i="2"/>
  <c r="M17" i="2"/>
  <c r="L17" i="2"/>
  <c r="K17" i="2"/>
  <c r="G17" i="2"/>
  <c r="F17" i="2"/>
  <c r="D17" i="2"/>
  <c r="B17" i="2"/>
  <c r="A17" i="2"/>
  <c r="AA16" i="2"/>
  <c r="Z16" i="2"/>
  <c r="Y16" i="2"/>
  <c r="X16" i="2"/>
  <c r="R16" i="2"/>
  <c r="T16" i="2" s="1"/>
  <c r="P16" i="2"/>
  <c r="O16" i="2"/>
  <c r="M16" i="2"/>
  <c r="K16" i="2"/>
  <c r="L16" i="2" s="1"/>
  <c r="AB16" i="2" s="1"/>
  <c r="G16" i="2"/>
  <c r="B16" i="2"/>
  <c r="A16" i="2"/>
  <c r="AA15" i="2"/>
  <c r="Z15" i="2"/>
  <c r="Y15" i="2"/>
  <c r="X15" i="2"/>
  <c r="P15" i="2"/>
  <c r="U15" i="2" s="1"/>
  <c r="M15" i="2"/>
  <c r="K15" i="2"/>
  <c r="B15" i="2"/>
  <c r="A15" i="2"/>
  <c r="AA14" i="2"/>
  <c r="Z14" i="2"/>
  <c r="Y14" i="2"/>
  <c r="X14" i="2"/>
  <c r="U14" i="2"/>
  <c r="T14" i="2"/>
  <c r="S14" i="2"/>
  <c r="R14" i="2"/>
  <c r="P14" i="2"/>
  <c r="M14" i="2"/>
  <c r="K14" i="2"/>
  <c r="B14" i="2"/>
  <c r="A14" i="2"/>
  <c r="AA13" i="2"/>
  <c r="Z13" i="2"/>
  <c r="Y13" i="2"/>
  <c r="X13" i="2"/>
  <c r="U13" i="2"/>
  <c r="T13" i="2"/>
  <c r="S13" i="2"/>
  <c r="R13" i="2"/>
  <c r="G14" i="2" s="1"/>
  <c r="P13" i="2"/>
  <c r="M13" i="2"/>
  <c r="K13" i="2"/>
  <c r="O13" i="2" s="1"/>
  <c r="B13" i="2"/>
  <c r="A13" i="2"/>
  <c r="AA12" i="2"/>
  <c r="Z12" i="2"/>
  <c r="Y12" i="2"/>
  <c r="X12" i="2"/>
  <c r="U12" i="2"/>
  <c r="T12" i="2"/>
  <c r="S12" i="2"/>
  <c r="R12" i="2"/>
  <c r="P12" i="2"/>
  <c r="M12" i="2"/>
  <c r="O12" i="2" s="1"/>
  <c r="L12" i="2"/>
  <c r="D12" i="2" s="1"/>
  <c r="K12" i="2"/>
  <c r="G12" i="2"/>
  <c r="F12" i="2"/>
  <c r="B12" i="2"/>
  <c r="A12" i="2"/>
  <c r="AA11" i="2"/>
  <c r="Z11" i="2"/>
  <c r="Y11" i="2"/>
  <c r="X11" i="2"/>
  <c r="R11" i="2"/>
  <c r="T11" i="2" s="1"/>
  <c r="P11" i="2"/>
  <c r="O11" i="2"/>
  <c r="M11" i="2"/>
  <c r="K11" i="2"/>
  <c r="L11" i="2" s="1"/>
  <c r="G11" i="2"/>
  <c r="B11" i="2"/>
  <c r="A11" i="2"/>
  <c r="AA10" i="2"/>
  <c r="Z10" i="2"/>
  <c r="Y10" i="2"/>
  <c r="X10" i="2"/>
  <c r="P10" i="2"/>
  <c r="U10" i="2" s="1"/>
  <c r="M10" i="2"/>
  <c r="K10" i="2"/>
  <c r="B10" i="2"/>
  <c r="A10" i="2"/>
  <c r="AA9" i="2"/>
  <c r="Z9" i="2"/>
  <c r="Y9" i="2"/>
  <c r="X9" i="2"/>
  <c r="U9" i="2"/>
  <c r="T9" i="2"/>
  <c r="S9" i="2"/>
  <c r="R9" i="2"/>
  <c r="P9" i="2"/>
  <c r="M9" i="2"/>
  <c r="K9" i="2"/>
  <c r="O9" i="2" s="1"/>
  <c r="B9" i="2"/>
  <c r="A9" i="2"/>
  <c r="AA8" i="2"/>
  <c r="Z8" i="2"/>
  <c r="Y8" i="2"/>
  <c r="X8" i="2"/>
  <c r="U8" i="2"/>
  <c r="T8" i="2"/>
  <c r="S8" i="2"/>
  <c r="R8" i="2"/>
  <c r="P8" i="2"/>
  <c r="O8" i="2"/>
  <c r="M8" i="2"/>
  <c r="L8" i="2"/>
  <c r="N8" i="2" s="1"/>
  <c r="K8" i="2"/>
  <c r="G8" i="2"/>
  <c r="F8" i="2"/>
  <c r="B8" i="2"/>
  <c r="A8" i="2"/>
  <c r="AA7" i="2"/>
  <c r="Z7" i="2"/>
  <c r="Y7" i="2"/>
  <c r="X7" i="2"/>
  <c r="U7" i="2"/>
  <c r="T7" i="2"/>
  <c r="S7" i="2"/>
  <c r="R7" i="2"/>
  <c r="P7" i="2"/>
  <c r="O7" i="2"/>
  <c r="M7" i="2"/>
  <c r="L7" i="2"/>
  <c r="E7" i="2" s="1"/>
  <c r="K7" i="2"/>
  <c r="G7" i="2"/>
  <c r="F7" i="2"/>
  <c r="B7" i="2"/>
  <c r="A7" i="2"/>
  <c r="AA6" i="2"/>
  <c r="Z6" i="2"/>
  <c r="Y6" i="2"/>
  <c r="X6" i="2"/>
  <c r="U6" i="2"/>
  <c r="T6" i="2"/>
  <c r="S6" i="2"/>
  <c r="R6" i="2"/>
  <c r="P6" i="2"/>
  <c r="M6" i="2"/>
  <c r="L6" i="2"/>
  <c r="N6" i="2" s="1"/>
  <c r="K6" i="2"/>
  <c r="F6" i="2" s="1"/>
  <c r="G6" i="2"/>
  <c r="B6" i="2"/>
  <c r="A6" i="2"/>
  <c r="AA5" i="2"/>
  <c r="Z5" i="2"/>
  <c r="Y5" i="2"/>
  <c r="X5" i="2"/>
  <c r="U5" i="2"/>
  <c r="T5" i="2"/>
  <c r="S5" i="2"/>
  <c r="R5" i="2"/>
  <c r="P5" i="2"/>
  <c r="M5" i="2"/>
  <c r="O5" i="2" s="1"/>
  <c r="K5" i="2"/>
  <c r="L5" i="2" s="1"/>
  <c r="G5" i="2"/>
  <c r="B5" i="2"/>
  <c r="A5" i="2"/>
  <c r="AA4" i="2"/>
  <c r="Z4" i="2"/>
  <c r="Y4" i="2"/>
  <c r="X4" i="2"/>
  <c r="U4" i="2"/>
  <c r="T4" i="2"/>
  <c r="S4" i="2"/>
  <c r="R4" i="2"/>
  <c r="P4" i="2"/>
  <c r="M4" i="2"/>
  <c r="K4" i="2"/>
  <c r="O4" i="2" s="1"/>
  <c r="G4" i="2"/>
  <c r="B4" i="2"/>
  <c r="A4" i="2"/>
  <c r="AB3" i="2"/>
  <c r="AA3" i="2"/>
  <c r="Z3" i="2"/>
  <c r="Y3" i="2"/>
  <c r="X3" i="2"/>
  <c r="P3" i="2"/>
  <c r="R3" i="2" s="1"/>
  <c r="N3" i="2"/>
  <c r="M3" i="2"/>
  <c r="O3" i="2" s="1"/>
  <c r="K3" i="2"/>
  <c r="L3" i="2" s="1"/>
  <c r="C3" i="2"/>
  <c r="B3" i="2"/>
  <c r="A3" i="2"/>
  <c r="AC2" i="2"/>
  <c r="AA2" i="2"/>
  <c r="Z2" i="2"/>
  <c r="Y2" i="2"/>
  <c r="X2" i="2"/>
  <c r="T2" i="2"/>
  <c r="P2" i="2"/>
  <c r="U2" i="2" s="1"/>
  <c r="O2" i="2"/>
  <c r="M2" i="2"/>
  <c r="L2" i="2"/>
  <c r="C2" i="2" s="1"/>
  <c r="K2" i="2"/>
  <c r="G2" i="2"/>
  <c r="F2" i="2"/>
  <c r="D2" i="2"/>
  <c r="B2" i="2"/>
  <c r="A2" i="2"/>
  <c r="D7" i="9" l="1"/>
  <c r="AC5" i="2"/>
  <c r="AB5" i="2"/>
  <c r="E5" i="2"/>
  <c r="N5" i="2"/>
  <c r="T3" i="2"/>
  <c r="G3" i="2"/>
  <c r="F3" i="2"/>
  <c r="H6" i="2"/>
  <c r="D11" i="2"/>
  <c r="C11" i="2"/>
  <c r="AC11" i="2"/>
  <c r="I17" i="2"/>
  <c r="J17" i="2" s="1"/>
  <c r="AB18" i="2"/>
  <c r="N18" i="2"/>
  <c r="C18" i="2"/>
  <c r="D20" i="2"/>
  <c r="C20" i="2"/>
  <c r="E20" i="2" s="1"/>
  <c r="AC20" i="2"/>
  <c r="E21" i="2"/>
  <c r="AC21" i="2"/>
  <c r="U25" i="2"/>
  <c r="S25" i="2"/>
  <c r="AB27" i="2"/>
  <c r="N27" i="2"/>
  <c r="C27" i="2"/>
  <c r="O28" i="2"/>
  <c r="L28" i="2"/>
  <c r="S2" i="2"/>
  <c r="D3" i="2"/>
  <c r="E3" i="2" s="1"/>
  <c r="AC3" i="2"/>
  <c r="F4" i="2"/>
  <c r="R10" i="2"/>
  <c r="O15" i="2"/>
  <c r="L15" i="2"/>
  <c r="O19" i="2"/>
  <c r="L19" i="2"/>
  <c r="C22" i="2"/>
  <c r="E22" i="2" s="1"/>
  <c r="H22" i="2" s="1"/>
  <c r="I22" i="2" s="1"/>
  <c r="J22" i="2" s="1"/>
  <c r="AC22" i="2"/>
  <c r="AB22" i="2"/>
  <c r="R25" i="2"/>
  <c r="U31" i="2"/>
  <c r="R31" i="2"/>
  <c r="AC18" i="2"/>
  <c r="E2" i="2"/>
  <c r="H2" i="2" s="1"/>
  <c r="I2" i="2" s="1"/>
  <c r="J2" i="2" s="1"/>
  <c r="L4" i="2"/>
  <c r="F5" i="2"/>
  <c r="H5" i="2" s="1"/>
  <c r="I5" i="2" s="1"/>
  <c r="J5" i="2" s="1"/>
  <c r="E8" i="2"/>
  <c r="L9" i="2"/>
  <c r="F11" i="2"/>
  <c r="U11" i="2"/>
  <c r="S11" i="2"/>
  <c r="N12" i="2"/>
  <c r="R15" i="2"/>
  <c r="D18" i="2"/>
  <c r="U20" i="2"/>
  <c r="S20" i="2"/>
  <c r="U21" i="2"/>
  <c r="S21" i="2"/>
  <c r="AB23" i="2"/>
  <c r="N23" i="2"/>
  <c r="C23" i="2"/>
  <c r="E23" i="2" s="1"/>
  <c r="D25" i="2"/>
  <c r="C25" i="2"/>
  <c r="E25" i="2" s="1"/>
  <c r="AC25" i="2"/>
  <c r="D27" i="2"/>
  <c r="U29" i="2"/>
  <c r="S29" i="2"/>
  <c r="G25" i="11"/>
  <c r="H7" i="2"/>
  <c r="I7" i="2" s="1"/>
  <c r="J7" i="2" s="1"/>
  <c r="N20" i="2"/>
  <c r="U28" i="2"/>
  <c r="R28" i="2"/>
  <c r="U19" i="2"/>
  <c r="R19" i="2"/>
  <c r="O6" i="2"/>
  <c r="AC7" i="2"/>
  <c r="AB7" i="2"/>
  <c r="S15" i="2"/>
  <c r="N16" i="2"/>
  <c r="C17" i="2"/>
  <c r="E17" i="2" s="1"/>
  <c r="AC17" i="2"/>
  <c r="AB17" i="2"/>
  <c r="T20" i="2"/>
  <c r="G20" i="2"/>
  <c r="H20" i="2" s="1"/>
  <c r="I20" i="2" s="1"/>
  <c r="J20" i="2" s="1"/>
  <c r="T21" i="2"/>
  <c r="G21" i="2"/>
  <c r="H21" i="2" s="1"/>
  <c r="I21" i="2" s="1"/>
  <c r="J21" i="2" s="1"/>
  <c r="D22" i="2"/>
  <c r="O24" i="2"/>
  <c r="L24" i="2"/>
  <c r="C26" i="2"/>
  <c r="E26" i="2" s="1"/>
  <c r="H26" i="2" s="1"/>
  <c r="I26" i="2" s="1"/>
  <c r="J26" i="2" s="1"/>
  <c r="AC26" i="2"/>
  <c r="AB26" i="2"/>
  <c r="R29" i="2"/>
  <c r="D30" i="2"/>
  <c r="E30" i="2" s="1"/>
  <c r="H30" i="2" s="1"/>
  <c r="I30" i="2" s="1"/>
  <c r="J30" i="2" s="1"/>
  <c r="N32" i="2"/>
  <c r="AC6" i="2"/>
  <c r="AB6" i="2"/>
  <c r="S10" i="2"/>
  <c r="AB11" i="2"/>
  <c r="H17" i="2"/>
  <c r="AB20" i="2"/>
  <c r="AB21" i="2"/>
  <c r="H8" i="2"/>
  <c r="I8" i="2" s="1"/>
  <c r="J8" i="2" s="1"/>
  <c r="E6" i="2"/>
  <c r="O10" i="2"/>
  <c r="L10" i="2"/>
  <c r="L13" i="2"/>
  <c r="O14" i="2"/>
  <c r="AB25" i="2"/>
  <c r="AC8" i="2"/>
  <c r="AB8" i="2"/>
  <c r="N11" i="2"/>
  <c r="C12" i="2"/>
  <c r="E12" i="2" s="1"/>
  <c r="AC12" i="2"/>
  <c r="AB12" i="2"/>
  <c r="N21" i="2"/>
  <c r="AC27" i="2"/>
  <c r="D16" i="2"/>
  <c r="C16" i="2"/>
  <c r="E16" i="2" s="1"/>
  <c r="AC16" i="2"/>
  <c r="U3" i="2"/>
  <c r="S3" i="2"/>
  <c r="N2" i="2"/>
  <c r="AB2" i="2"/>
  <c r="N7" i="2"/>
  <c r="G9" i="2"/>
  <c r="H12" i="2"/>
  <c r="I12" i="2" s="1"/>
  <c r="J12" i="2" s="1"/>
  <c r="L14" i="2"/>
  <c r="F16" i="2"/>
  <c r="H16" i="2" s="1"/>
  <c r="I16" i="2" s="1"/>
  <c r="J16" i="2" s="1"/>
  <c r="U16" i="2"/>
  <c r="S16" i="2"/>
  <c r="N17" i="2"/>
  <c r="O18" i="2"/>
  <c r="AC23" i="2"/>
  <c r="U24" i="2"/>
  <c r="R24" i="2"/>
  <c r="N26" i="2"/>
  <c r="O31" i="2"/>
  <c r="L31" i="2"/>
  <c r="T27" i="2"/>
  <c r="F9" i="2"/>
  <c r="F13" i="2"/>
  <c r="F14" i="2"/>
  <c r="F18" i="2"/>
  <c r="F23" i="2"/>
  <c r="H23" i="2" s="1"/>
  <c r="I23" i="2" s="1"/>
  <c r="J23" i="2" s="1"/>
  <c r="F27" i="2"/>
  <c r="AC29" i="2"/>
  <c r="R32" i="2"/>
  <c r="G13" i="2"/>
  <c r="H3" i="2" l="1"/>
  <c r="I3" i="2" s="1"/>
  <c r="J3" i="2" s="1"/>
  <c r="G24" i="2"/>
  <c r="F24" i="2"/>
  <c r="T24" i="2"/>
  <c r="AB14" i="2"/>
  <c r="N14" i="2"/>
  <c r="AC14" i="2"/>
  <c r="E14" i="2"/>
  <c r="G31" i="2"/>
  <c r="F31" i="2"/>
  <c r="T31" i="2"/>
  <c r="N19" i="2"/>
  <c r="D19" i="2"/>
  <c r="AB19" i="2"/>
  <c r="C19" i="2"/>
  <c r="AC19" i="2"/>
  <c r="N15" i="2"/>
  <c r="D15" i="2"/>
  <c r="C15" i="2"/>
  <c r="AC15" i="2"/>
  <c r="AB15" i="2"/>
  <c r="E27" i="2"/>
  <c r="E11" i="2"/>
  <c r="H11" i="2" s="1"/>
  <c r="I11" i="2" s="1"/>
  <c r="J11" i="2" s="1"/>
  <c r="AB9" i="2"/>
  <c r="N9" i="2"/>
  <c r="AC9" i="2"/>
  <c r="C9" i="2"/>
  <c r="E9" i="2" s="1"/>
  <c r="H9" i="2" s="1"/>
  <c r="I9" i="2" s="1"/>
  <c r="J9" i="2" s="1"/>
  <c r="D9" i="2"/>
  <c r="I6" i="2"/>
  <c r="J6" i="2" s="1"/>
  <c r="N10" i="2"/>
  <c r="D10" i="2"/>
  <c r="C10" i="2"/>
  <c r="E10" i="2" s="1"/>
  <c r="AB10" i="2"/>
  <c r="AC10" i="2"/>
  <c r="G19" i="2"/>
  <c r="F19" i="2"/>
  <c r="T19" i="2"/>
  <c r="G15" i="2"/>
  <c r="F15" i="2"/>
  <c r="T15" i="2"/>
  <c r="AC4" i="2"/>
  <c r="AB4" i="2"/>
  <c r="D4" i="2"/>
  <c r="C4" i="2"/>
  <c r="N4" i="2"/>
  <c r="T25" i="2"/>
  <c r="G25" i="2"/>
  <c r="F25" i="2"/>
  <c r="H25" i="2" s="1"/>
  <c r="I25" i="2" s="1"/>
  <c r="J25" i="2" s="1"/>
  <c r="G10" i="2"/>
  <c r="F10" i="2"/>
  <c r="T10" i="2"/>
  <c r="N31" i="2"/>
  <c r="C31" i="2"/>
  <c r="E31" i="2" s="1"/>
  <c r="G28" i="2"/>
  <c r="F28" i="2"/>
  <c r="T28" i="2"/>
  <c r="H14" i="2"/>
  <c r="I14" i="2" s="1"/>
  <c r="J14" i="2" s="1"/>
  <c r="T29" i="2"/>
  <c r="G29" i="2"/>
  <c r="F29" i="2"/>
  <c r="H29" i="2" s="1"/>
  <c r="I29" i="2" s="1"/>
  <c r="J29" i="2" s="1"/>
  <c r="N28" i="2"/>
  <c r="D28" i="2"/>
  <c r="AB28" i="2"/>
  <c r="C28" i="2"/>
  <c r="AC28" i="2"/>
  <c r="AB13" i="2"/>
  <c r="N13" i="2"/>
  <c r="D13" i="2"/>
  <c r="AC13" i="2"/>
  <c r="C13" i="2"/>
  <c r="E13" i="2" s="1"/>
  <c r="H13" i="2" s="1"/>
  <c r="I13" i="2" s="1"/>
  <c r="J13" i="2" s="1"/>
  <c r="T32" i="2"/>
  <c r="G32" i="2"/>
  <c r="F32" i="2"/>
  <c r="H32" i="2" s="1"/>
  <c r="I32" i="2" s="1"/>
  <c r="J32" i="2" s="1"/>
  <c r="N24" i="2"/>
  <c r="D24" i="2"/>
  <c r="AB24" i="2"/>
  <c r="AC24" i="2"/>
  <c r="C24" i="2"/>
  <c r="H27" i="2"/>
  <c r="I27" i="2" s="1"/>
  <c r="J27" i="2" s="1"/>
  <c r="E18" i="2"/>
  <c r="H18" i="2" s="1"/>
  <c r="I18" i="2" s="1"/>
  <c r="J18" i="2" s="1"/>
  <c r="H10" i="2" l="1"/>
  <c r="I10" i="2" s="1"/>
  <c r="J10" i="2" s="1"/>
  <c r="E15" i="2"/>
  <c r="H31" i="2"/>
  <c r="I31" i="2" s="1"/>
  <c r="J31" i="2" s="1"/>
  <c r="H24" i="2"/>
  <c r="I24" i="2" s="1"/>
  <c r="J24" i="2" s="1"/>
  <c r="E4" i="2"/>
  <c r="H4" i="2" s="1"/>
  <c r="I4" i="2" s="1"/>
  <c r="J4" i="2" s="1"/>
  <c r="H19" i="2"/>
  <c r="I19" i="2" s="1"/>
  <c r="J19" i="2" s="1"/>
  <c r="H15" i="2"/>
  <c r="I15" i="2" s="1"/>
  <c r="J15" i="2" s="1"/>
  <c r="E24" i="2"/>
  <c r="E28" i="2"/>
  <c r="H28" i="2" s="1"/>
  <c r="I28" i="2" s="1"/>
  <c r="J28" i="2" s="1"/>
  <c r="E19" i="2"/>
</calcChain>
</file>

<file path=xl/comments1.xml><?xml version="1.0" encoding="utf-8"?>
<comments xmlns="http://schemas.openxmlformats.org/spreadsheetml/2006/main">
  <authors>
    <author/>
  </authors>
  <commentList>
    <comment ref="O4" authorId="0" shapeId="0">
      <text>
        <r>
          <rPr>
            <sz val="10"/>
            <color rgb="FF000000"/>
            <rFont val="Arial"/>
          </rPr>
          <t>с датчиками и тса 80</t>
        </r>
      </text>
    </comment>
    <comment ref="AI4" authorId="0" shapeId="0">
      <text>
        <r>
          <rPr>
            <sz val="10"/>
            <color rgb="FF000000"/>
            <rFont val="Arial"/>
          </rPr>
          <t>50-100</t>
        </r>
      </text>
    </comment>
    <comment ref="AI6" authorId="0" shapeId="0">
      <text>
        <r>
          <rPr>
            <sz val="10"/>
            <color rgb="FF000000"/>
            <rFont val="Arial"/>
          </rPr>
          <t>50-60</t>
        </r>
      </text>
    </comment>
    <comment ref="AI7" authorId="0" shapeId="0">
      <text>
        <r>
          <rPr>
            <sz val="10"/>
            <color rgb="FF000000"/>
            <rFont val="Arial"/>
          </rPr>
          <t>80-100</t>
        </r>
      </text>
    </comment>
    <comment ref="H8" authorId="0" shapeId="0">
      <text>
        <r>
          <rPr>
            <sz val="10"/>
            <color rgb="FF000000"/>
            <rFont val="Arial"/>
          </rPr>
          <t>500гр. плошадь 1кв.м</t>
        </r>
      </text>
    </comment>
    <comment ref="AI8" authorId="0" shapeId="0">
      <text>
        <r>
          <rPr>
            <sz val="10"/>
            <color rgb="FF000000"/>
            <rFont val="Arial"/>
          </rPr>
          <t>25-30</t>
        </r>
      </text>
    </comment>
    <comment ref="AI9" authorId="0" shapeId="0">
      <text>
        <r>
          <rPr>
            <sz val="10"/>
            <color rgb="FF000000"/>
            <rFont val="Arial"/>
          </rPr>
          <t>50-80</t>
        </r>
      </text>
    </comment>
    <comment ref="AI10" authorId="0" shapeId="0">
      <text>
        <r>
          <rPr>
            <sz val="10"/>
            <color rgb="FF000000"/>
            <rFont val="Arial"/>
          </rPr>
          <t>50-100</t>
        </r>
      </text>
    </comment>
    <comment ref="AI11" authorId="0" shapeId="0">
      <text>
        <r>
          <rPr>
            <sz val="10"/>
            <color rgb="FF000000"/>
            <rFont val="Arial"/>
          </rPr>
          <t>20-25</t>
        </r>
      </text>
    </comment>
    <comment ref="AI12" authorId="0" shapeId="0">
      <text>
        <r>
          <rPr>
            <sz val="10"/>
            <color rgb="FF000000"/>
            <rFont val="Arial"/>
          </rPr>
          <t>125-150</t>
        </r>
      </text>
    </comment>
    <comment ref="AI13" authorId="0" shapeId="0">
      <text>
        <r>
          <rPr>
            <sz val="10"/>
            <color rgb="FF000000"/>
            <rFont val="Arial"/>
          </rPr>
          <t>50-100</t>
        </r>
      </text>
    </comment>
    <comment ref="AI17" authorId="0" shapeId="0">
      <text>
        <r>
          <rPr>
            <sz val="10"/>
            <color rgb="FF000000"/>
            <rFont val="Arial"/>
          </rPr>
          <t>65-100</t>
        </r>
      </text>
    </comment>
    <comment ref="J19" authorId="0" shapeId="0">
      <text>
        <r>
          <rPr>
            <sz val="10"/>
            <color rgb="FF000000"/>
            <rFont val="Arial"/>
          </rPr>
          <t>кег 30-точно не померять-примерно 230мм</t>
        </r>
      </text>
    </comment>
    <comment ref="AI19" authorId="0" shapeId="0">
      <text>
        <r>
          <rPr>
            <sz val="10"/>
            <color rgb="FF000000"/>
            <rFont val="Arial"/>
          </rPr>
          <t>50-120</t>
        </r>
      </text>
    </comment>
    <comment ref="AI20" authorId="0" shapeId="0">
      <text>
        <r>
          <rPr>
            <sz val="10"/>
            <color rgb="FF000000"/>
            <rFont val="Arial"/>
          </rPr>
          <t>50-120</t>
        </r>
      </text>
    </comment>
    <comment ref="AI21" authorId="0" shapeId="0">
      <text>
        <r>
          <rPr>
            <sz val="10"/>
            <color rgb="FF000000"/>
            <rFont val="Arial"/>
          </rPr>
          <t>50-100</t>
        </r>
      </text>
    </comment>
    <comment ref="AI22" authorId="0" shapeId="0">
      <text>
        <r>
          <rPr>
            <sz val="10"/>
            <color rgb="FF000000"/>
            <rFont val="Arial"/>
          </rPr>
          <t>40-60</t>
        </r>
      </text>
    </comment>
    <comment ref="AI23" authorId="0" shapeId="0">
      <text>
        <r>
          <rPr>
            <sz val="10"/>
            <color rgb="FF000000"/>
            <rFont val="Arial"/>
          </rPr>
          <t>20-25</t>
        </r>
      </text>
    </comment>
    <comment ref="AI24" authorId="0" shapeId="0">
      <text>
        <r>
          <rPr>
            <sz val="10"/>
            <color rgb="FF000000"/>
            <rFont val="Arial"/>
          </rPr>
          <t>50-100</t>
        </r>
      </text>
    </comment>
    <comment ref="G27" authorId="0" shapeId="0">
      <text>
        <r>
          <rPr>
            <sz val="10"/>
            <color rgb="FF000000"/>
            <rFont val="Arial"/>
          </rPr>
          <t>2190 (с учетом травления)</t>
        </r>
      </text>
    </comment>
    <comment ref="AI27" authorId="0" shapeId="0">
      <text>
        <r>
          <rPr>
            <sz val="10"/>
            <color rgb="FF000000"/>
            <rFont val="Arial"/>
          </rPr>
          <t>25-50</t>
        </r>
      </text>
    </comment>
    <comment ref="AI28" authorId="0" shapeId="0">
      <text>
        <r>
          <rPr>
            <sz val="10"/>
            <color rgb="FF000000"/>
            <rFont val="Arial"/>
          </rPr>
          <t>50-100</t>
        </r>
      </text>
    </comment>
    <comment ref="X31" authorId="0" shapeId="0">
      <text>
        <r>
          <rPr>
            <sz val="10"/>
            <color rgb="FF000000"/>
            <rFont val="Arial"/>
          </rPr>
          <t>950  отбор 0.9 л./ч.      1075 отбор 1.4 л./ч.</t>
        </r>
      </text>
    </comment>
    <comment ref="AA31" authorId="0" shapeId="0">
      <text>
        <r>
          <rPr>
            <sz val="10"/>
            <color rgb="FF000000"/>
            <rFont val="Arial"/>
          </rPr>
          <t>950 при атмосф.давлении 760мм.рт.
950/1075</t>
        </r>
      </text>
    </comment>
    <comment ref="AH31" authorId="0" shapeId="0">
      <text>
        <r>
          <rPr>
            <sz val="10"/>
            <color rgb="FF000000"/>
            <rFont val="Arial"/>
          </rPr>
          <t>1400 последних два   литра 0.8</t>
        </r>
      </text>
    </comment>
    <comment ref="AI31" authorId="0" shapeId="0">
      <text>
        <r>
          <rPr>
            <sz val="10"/>
            <color rgb="FF000000"/>
            <rFont val="Arial"/>
          </rPr>
          <t>200/300(гол/подгол)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J2" authorId="0" shapeId="0">
      <text>
        <r>
          <rPr>
            <sz val="10"/>
            <color rgb="FF000000"/>
            <rFont val="Arial"/>
          </rPr>
          <t>&lt;0,45;"пленочный режим"
=0,45;"точка торможения"
&lt;0,85;"промежуточный режим"
=0,85;"точка подвисания"
&gt;0,85"турбулентный режим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H2" authorId="0" shapeId="0">
      <text>
        <r>
          <rPr>
            <sz val="10"/>
            <color rgb="FF000000"/>
            <rFont val="Arial"/>
          </rPr>
          <t>125-150</t>
        </r>
      </text>
    </comment>
    <comment ref="H4" authorId="0" shapeId="0">
      <text>
        <r>
          <rPr>
            <sz val="10"/>
            <color rgb="FF000000"/>
            <rFont val="Arial"/>
          </rPr>
          <t>65-100</t>
        </r>
      </text>
    </comment>
    <comment ref="H5" authorId="0" shapeId="0">
      <text>
        <r>
          <rPr>
            <sz val="10"/>
            <color rgb="FF000000"/>
            <rFont val="Arial"/>
          </rPr>
          <t>50-120</t>
        </r>
      </text>
    </comment>
    <comment ref="H6" authorId="0" shapeId="0">
      <text>
        <r>
          <rPr>
            <sz val="10"/>
            <color rgb="FF000000"/>
            <rFont val="Arial"/>
          </rPr>
          <t>25-50</t>
        </r>
      </text>
    </comment>
    <comment ref="H7" authorId="0" shapeId="0">
      <text>
        <r>
          <rPr>
            <sz val="10"/>
            <color rgb="FF000000"/>
            <rFont val="Arial"/>
          </rPr>
          <t>50-120</t>
        </r>
      </text>
    </comment>
    <comment ref="H8" authorId="0" shapeId="0">
      <text>
        <r>
          <rPr>
            <sz val="10"/>
            <color rgb="FF000000"/>
            <rFont val="Arial"/>
          </rPr>
          <t>50-100</t>
        </r>
      </text>
    </comment>
    <comment ref="H9" authorId="0" shapeId="0">
      <text>
        <r>
          <rPr>
            <sz val="10"/>
            <color rgb="FF000000"/>
            <rFont val="Arial"/>
          </rPr>
          <t>50-80</t>
        </r>
      </text>
    </comment>
    <comment ref="H10" authorId="0" shapeId="0">
      <text>
        <r>
          <rPr>
            <sz val="10"/>
            <color rgb="FF000000"/>
            <rFont val="Arial"/>
          </rPr>
          <t>40-60</t>
        </r>
      </text>
    </comment>
    <comment ref="H11" authorId="0" shapeId="0">
      <text>
        <r>
          <rPr>
            <sz val="10"/>
            <color rgb="FF000000"/>
            <rFont val="Arial"/>
          </rPr>
          <t>20-25</t>
        </r>
      </text>
    </comment>
    <comment ref="H12" authorId="0" shapeId="0">
      <text>
        <r>
          <rPr>
            <sz val="10"/>
            <color rgb="FF000000"/>
            <rFont val="Arial"/>
          </rPr>
          <t>50-100</t>
        </r>
      </text>
    </comment>
    <comment ref="H13" authorId="0" shapeId="0">
      <text>
        <r>
          <rPr>
            <sz val="10"/>
            <color rgb="FF000000"/>
            <rFont val="Arial"/>
          </rPr>
          <t>80-100</t>
        </r>
      </text>
    </comment>
    <comment ref="H14" authorId="0" shapeId="0">
      <text>
        <r>
          <rPr>
            <sz val="10"/>
            <color rgb="FF000000"/>
            <rFont val="Arial"/>
          </rPr>
          <t>25-30</t>
        </r>
      </text>
    </comment>
    <comment ref="H15" authorId="0" shapeId="0">
      <text>
        <r>
          <rPr>
            <sz val="10"/>
            <color rgb="FF000000"/>
            <rFont val="Arial"/>
          </rPr>
          <t>50-100</t>
        </r>
      </text>
    </comment>
    <comment ref="H18" authorId="0" shapeId="0">
      <text>
        <r>
          <rPr>
            <sz val="10"/>
            <color rgb="FF000000"/>
            <rFont val="Arial"/>
          </rPr>
          <t>50-60</t>
        </r>
      </text>
    </comment>
    <comment ref="H19" authorId="0" shapeId="0">
      <text>
        <r>
          <rPr>
            <sz val="10"/>
            <color rgb="FF000000"/>
            <rFont val="Arial"/>
          </rPr>
          <t>20-25</t>
        </r>
      </text>
    </comment>
    <comment ref="H22" authorId="0" shapeId="0">
      <text>
        <r>
          <rPr>
            <sz val="10"/>
            <color rgb="FF000000"/>
            <rFont val="Arial"/>
          </rPr>
          <t>50-100</t>
        </r>
      </text>
    </comment>
    <comment ref="H23" authorId="0" shapeId="0">
      <text>
        <r>
          <rPr>
            <sz val="10"/>
            <color rgb="FF000000"/>
            <rFont val="Arial"/>
          </rPr>
          <t>50-100</t>
        </r>
      </text>
    </comment>
    <comment ref="E28" authorId="0" shapeId="0">
      <text>
        <r>
          <rPr>
            <sz val="10"/>
            <color rgb="FF000000"/>
            <rFont val="Arial"/>
          </rPr>
          <t>950 при атмосф.давлении 760мм.рт.
950/1075</t>
        </r>
      </text>
    </comment>
    <comment ref="G28" authorId="0" shapeId="0">
      <text>
        <r>
          <rPr>
            <sz val="10"/>
            <color rgb="FF000000"/>
            <rFont val="Arial"/>
          </rPr>
          <t>1400 последних два   литра 0.8</t>
        </r>
      </text>
    </comment>
    <comment ref="H28" authorId="0" shapeId="0">
      <text>
        <r>
          <rPr>
            <sz val="10"/>
            <color rgb="FF000000"/>
            <rFont val="Arial"/>
          </rPr>
          <t>200/300(гол/подгол)</t>
        </r>
      </text>
    </comment>
    <comment ref="H29" authorId="0" shapeId="0">
      <text>
        <r>
          <rPr>
            <sz val="10"/>
            <color rgb="FF000000"/>
            <rFont val="Arial"/>
          </rPr>
          <t>50-100</t>
        </r>
      </text>
    </comment>
  </commentList>
</comments>
</file>

<file path=xl/sharedStrings.xml><?xml version="1.0" encoding="utf-8"?>
<sst xmlns="http://schemas.openxmlformats.org/spreadsheetml/2006/main" count="654" uniqueCount="407">
  <si>
    <t>НИК</t>
  </si>
  <si>
    <t>№ п/п</t>
  </si>
  <si>
    <t>http://forum.homedistiller.ru/index.php?topic=53272.0</t>
  </si>
  <si>
    <t>площадь поверхности материала насадки (без взаимного касания) [м.квадр.]</t>
  </si>
  <si>
    <t>площадь поверхности материала насадки (для колец Рашига) [м.квадр.]</t>
  </si>
  <si>
    <t>Удельная поверхность насадки (среднее значение)  [м.кв/литр.]</t>
  </si>
  <si>
    <t>массовый поток жидкой фазы кг/м.кв. час</t>
  </si>
  <si>
    <t>массовый поток пара кг/м.кв.час</t>
  </si>
  <si>
    <t>скорость пара при инверсии [м/с]</t>
  </si>
  <si>
    <t>Уважаемые форумчане ! Этот файл заряжен для нашего внутреннего употребления. Цель - сбор информации о РЕАЛЬНО РАБОТАЮЩИХ ректификационных колонах. Данные опубликованные Вами будут систематизированы по различным критериям по мере накопления. Надеюсь всё это заработает и будет полезно.</t>
  </si>
  <si>
    <t>режим работы колонны &lt;0,45;"пленочный режим"
=0,45;"точка торможения"
&lt;0,85;"промежуточный режим"
=0,85;"точка подвисания"
&gt;0,85"турбулентный режим</t>
  </si>
  <si>
    <t>площадь сечения колонны [мм. кв.]</t>
  </si>
  <si>
    <t>объём насадочной части [л]</t>
  </si>
  <si>
    <t>процент свободного сечения колонны (от веса насадки в литре) [%]</t>
  </si>
  <si>
    <t>процент свободного объёма (от веса насадки в в насадочной части) [%]</t>
  </si>
  <si>
    <t>максимальная скорость пара в насадке [м/с]</t>
  </si>
  <si>
    <t>производительность (без учета теплопотерь) [л/час]</t>
  </si>
  <si>
    <t>теплопотери спирт/вода [%]</t>
  </si>
  <si>
    <t>производительность ( с учетом теплопотерь) [л/час] для тех кто не мерял - 20%</t>
  </si>
  <si>
    <t>флегмовое число (без учёта теплопотерь)</t>
  </si>
  <si>
    <t>флегмовое число ( с учетом теплопотерь)</t>
  </si>
  <si>
    <t>флегмовое число при отборе голов(среднее)</t>
  </si>
  <si>
    <t>тепловая нагрузка дефлегматора при Твод.вх.=20 [град.] и расходе воды 5 [л/мин], [Вт]</t>
  </si>
  <si>
    <t>температура на выходе дефлегматора [град.]</t>
  </si>
  <si>
    <t>общая высота конструкции [мм]</t>
  </si>
  <si>
    <t xml:space="preserve"> НИК</t>
  </si>
  <si>
    <t>отношение рабочей мощности к диаметру колонны [Вт/мм.] среднее=25</t>
  </si>
  <si>
    <t>отношение рабочей мощности к начальному отбору [Вт/мл] среднее=1,3</t>
  </si>
  <si>
    <t>НАСАДКА
[своё описание]</t>
  </si>
  <si>
    <t>Производитель насадки</t>
  </si>
  <si>
    <t>Параметры насадки</t>
  </si>
  <si>
    <t>диаметр проволоки [мм]</t>
  </si>
  <si>
    <t>Вес 1 литра насадки [гр]</t>
  </si>
  <si>
    <t>Общий вес насадки в насадочной части трубы (укладка) [гр]</t>
  </si>
  <si>
    <t>отношение высоты насадочной части к деаметру [мм/мм] среднее=35</t>
  </si>
  <si>
    <t>объём куба [л]</t>
  </si>
  <si>
    <t>отношение высоты насадочной части к объёму [м/л] среднее=0,7</t>
  </si>
  <si>
    <t>высота куба [мм]</t>
  </si>
  <si>
    <t>отношение объёма начального отбора к объёму насадочной части [л/л] среднее=0,4</t>
  </si>
  <si>
    <t xml:space="preserve">общая мощность установленных нагревателей [Вт]/тип регулятора </t>
  </si>
  <si>
    <t>тип и способ установки нагревателей</t>
  </si>
  <si>
    <t>наличие и материал утепления куба</t>
  </si>
  <si>
    <t>тип дефлегматора</t>
  </si>
  <si>
    <t>общая высота дефлегматора [мм]</t>
  </si>
  <si>
    <t>площадь охлаждающей поверхности дефлегматора [cм кв.]</t>
  </si>
  <si>
    <t>внутренний диаметр колонны [мм]</t>
  </si>
  <si>
    <t>высота колонны [мм]</t>
  </si>
  <si>
    <t>наличие и высота царги пастеризации [мм]</t>
  </si>
  <si>
    <t>высота насадочной части [мм]</t>
  </si>
  <si>
    <t>количество концентраторов флегмы [шт]</t>
  </si>
  <si>
    <t>количество ректификаций для получения СР качеством не хуже ГОСТа</t>
  </si>
  <si>
    <t>наличие и материал утепления колонны</t>
  </si>
  <si>
    <t>максимальная мощность без захлёба [Вт]</t>
  </si>
  <si>
    <t>мощность захлёба [Вт]</t>
  </si>
  <si>
    <t>Давление "захлёба" [свои единицы]</t>
  </si>
  <si>
    <t>рабочая мощность [Вт]</t>
  </si>
  <si>
    <t>Рабочее давление [свои единицы]</t>
  </si>
  <si>
    <t xml:space="preserve">максимальная производительность (открытый отбор) / максимальная мощность / % СР [мл/Вт/%] за час </t>
  </si>
  <si>
    <t xml:space="preserve">рабочая производительность (открытый отбор) / рабочая мощность / % СР [мл/Вт/%] за час </t>
  </si>
  <si>
    <t>максимальная производительность (открытый отбор) / максимальная мощность[мл/Вт] за час на воде</t>
  </si>
  <si>
    <t>рабочая производительность (открытый отбор) / рабочая мощность [мл/Вт] за час на воде</t>
  </si>
  <si>
    <t>производительность по "телу" без потери качества максимальная [мл/час]</t>
  </si>
  <si>
    <t>производительность по "телу" рабочая [мл/час]</t>
  </si>
  <si>
    <t>скорость отбора "голов" [мл/час]</t>
  </si>
  <si>
    <t>время отбора голов [мин]</t>
  </si>
  <si>
    <t>объём/крепость/исходный продукт СС [л/%/"пшеница"]</t>
  </si>
  <si>
    <t>ссылка на форум про "железо"</t>
  </si>
  <si>
    <t>3,1</t>
  </si>
  <si>
    <t>29</t>
  </si>
  <si>
    <t>mekkaod</t>
  </si>
  <si>
    <t>мочалки</t>
  </si>
  <si>
    <t>китай</t>
  </si>
  <si>
    <t>17,5 гр 0,035х0,57 48 шт</t>
  </si>
  <si>
    <t>3500 (2*1750)/ пропуск полуволн, ПК</t>
  </si>
  <si>
    <t>нихромовая спираль в керамических бусах / снаружи под днищем</t>
  </si>
  <si>
    <t>огнестойкая пена PENOSIL FR толщ.50 мм</t>
  </si>
  <si>
    <t>кожухотрубный вертикальный</t>
  </si>
  <si>
    <t>------</t>
  </si>
  <si>
    <t>изол. для конд. Isolante K-Flex толщ.32 мм</t>
  </si>
  <si>
    <t xml:space="preserve"> ----</t>
  </si>
  <si>
    <t xml:space="preserve"> 20мм.вд.ст.</t>
  </si>
  <si>
    <t>7100/1750/96</t>
  </si>
  <si>
    <t>4140/3500</t>
  </si>
  <si>
    <t>1960/1750</t>
  </si>
  <si>
    <t>http://forum.homedistiller.ru/index.php?topic=41940.0</t>
  </si>
  <si>
    <t>Miroschnik</t>
  </si>
  <si>
    <t>СПН</t>
  </si>
  <si>
    <t>Селиваненко</t>
  </si>
  <si>
    <t>3,0*3,0</t>
  </si>
  <si>
    <t>тэн 1,5 кв врезан в куб</t>
  </si>
  <si>
    <t>Фольгоизол</t>
  </si>
  <si>
    <t>термос 1 литр</t>
  </si>
  <si>
    <t>?</t>
  </si>
  <si>
    <t>20 мм.рт.ст</t>
  </si>
  <si>
    <t>18мм.рт.ст</t>
  </si>
  <si>
    <t>15л\40%\сахар</t>
  </si>
  <si>
    <t>svarnoy</t>
  </si>
  <si>
    <t>СПН травленая паром</t>
  </si>
  <si>
    <t>3.0х3.0</t>
  </si>
  <si>
    <t>3 кв РМ-2</t>
  </si>
  <si>
    <t>тэн 3 кв врезан в куб</t>
  </si>
  <si>
    <t>самоклеющийся пенофол фольгилированный</t>
  </si>
  <si>
    <t xml:space="preserve">                                                                                                                         </t>
  </si>
  <si>
    <t>самоклеюшийся фольгилированный пенофол 10мм в 2 слоя</t>
  </si>
  <si>
    <t>5-7мм.рт.ст</t>
  </si>
  <si>
    <t>30%рис</t>
  </si>
  <si>
    <t>http://forum.homedistiller.ru/index.php?topic=47272.0</t>
  </si>
  <si>
    <t>12/26</t>
  </si>
  <si>
    <t>torch-vi</t>
  </si>
  <si>
    <t>хели-грид</t>
  </si>
  <si>
    <t>самопал</t>
  </si>
  <si>
    <t>9.6х3.5  0.25мм</t>
  </si>
  <si>
    <t>50.   30</t>
  </si>
  <si>
    <t>пеноизол.25мм</t>
  </si>
  <si>
    <t>1.5кПа</t>
  </si>
  <si>
    <t>1.2кПа</t>
  </si>
  <si>
    <t>фиксированное 8-10часов</t>
  </si>
  <si>
    <t>18-20л/30%/сахар</t>
  </si>
  <si>
    <t>http://forum.homedistiller.ru/index.php?topic=33256.0</t>
  </si>
  <si>
    <t xml:space="preserve"> хели-грид эксперемент продолжается</t>
  </si>
  <si>
    <t>6.5х3  0.25мм</t>
  </si>
  <si>
    <t>30.   25</t>
  </si>
  <si>
    <t>активный. нагреватель до 100вт</t>
  </si>
  <si>
    <t>alex-8888</t>
  </si>
  <si>
    <t>30шт(нерезаны)</t>
  </si>
  <si>
    <t>30 (25-рабочий</t>
  </si>
  <si>
    <t>2.5ква SSR40</t>
  </si>
  <si>
    <t>резьба-вкручен</t>
  </si>
  <si>
    <t>пуховик</t>
  </si>
  <si>
    <t>Вертикальный -"рубашка" охлаждения + сьемный димрот Ф6 луж.медь 3метра</t>
  </si>
  <si>
    <t>550+560</t>
  </si>
  <si>
    <t>нет</t>
  </si>
  <si>
    <t>Утерлитель для труб 8мм</t>
  </si>
  <si>
    <t>25мм.рт.ст</t>
  </si>
  <si>
    <t>Не замерял</t>
  </si>
  <si>
    <t>6-10часов</t>
  </si>
  <si>
    <t>20-25л/40% зерно,фрукты</t>
  </si>
  <si>
    <t>Серж1</t>
  </si>
  <si>
    <t>"галька" речная</t>
  </si>
  <si>
    <t>природа</t>
  </si>
  <si>
    <t>8-10 мм</t>
  </si>
  <si>
    <t>2* 1000</t>
  </si>
  <si>
    <t>врезан внутрь</t>
  </si>
  <si>
    <t>слой ткани+2слоя  фольгоизола</t>
  </si>
  <si>
    <t>наклонный с димротом из гофры газовой</t>
  </si>
  <si>
    <t>слой ткани +2 слоя фольгоизола</t>
  </si>
  <si>
    <t>30мм рт.ст.</t>
  </si>
  <si>
    <t>10мм рт.ст.</t>
  </si>
  <si>
    <t>60</t>
  </si>
  <si>
    <t>40% пшеничная</t>
  </si>
  <si>
    <t>sergeiK</t>
  </si>
  <si>
    <t>1kW+1.5kW, ЛАТР</t>
  </si>
  <si>
    <t>врезаны внутрь</t>
  </si>
  <si>
    <t>пенофол фольгированный 6 мм</t>
  </si>
  <si>
    <t>вертикальный с димротом из 8 мм нерж.трубки 2500 мм</t>
  </si>
  <si>
    <t>300 мм</t>
  </si>
  <si>
    <t>фольгилированный пенофол 6 мм в 2 слоя</t>
  </si>
  <si>
    <t>18 мм рт ст</t>
  </si>
  <si>
    <t>12 мм рт ст</t>
  </si>
  <si>
    <t>18-24 часов</t>
  </si>
  <si>
    <t>25-30л/40% пшеничная (или сахарная)</t>
  </si>
  <si>
    <t>kaimariss</t>
  </si>
  <si>
    <t>спн (ран2,5)</t>
  </si>
  <si>
    <t xml:space="preserve">гонево </t>
  </si>
  <si>
    <t>3х2 - 3х3</t>
  </si>
  <si>
    <t>3 kw  РМ2</t>
  </si>
  <si>
    <t xml:space="preserve">Рездовая муфта   2,1/2 дуйма , тэн вкручивается в муфту </t>
  </si>
  <si>
    <t>Коврик от палатки ,один слой!</t>
  </si>
  <si>
    <t xml:space="preserve">Наклоный 90% ,длина350мм ,Внутри димрот из 8мм нерж трубки 3500мм </t>
  </si>
  <si>
    <t>хорошо утеплена коврикот палатки в 4 слоя</t>
  </si>
  <si>
    <t>5кПа</t>
  </si>
  <si>
    <t>3кПа</t>
  </si>
  <si>
    <t xml:space="preserve">никогда не пробовал ! </t>
  </si>
  <si>
    <t>5-6 часов</t>
  </si>
  <si>
    <t>45л 32-35% сахарного сэма</t>
  </si>
  <si>
    <t>kiliwin</t>
  </si>
  <si>
    <t>3х3, 3.5х3</t>
  </si>
  <si>
    <t>2500/РМ-2</t>
  </si>
  <si>
    <t>врезан внутрь кега</t>
  </si>
  <si>
    <t>ЭППС, толщина 60 мм</t>
  </si>
  <si>
    <t>димрот+рубашка, наклонный</t>
  </si>
  <si>
    <t>-</t>
  </si>
  <si>
    <t>2 слоя сукна, утеплитель для водопроводных труб</t>
  </si>
  <si>
    <t>12 и более часов</t>
  </si>
  <si>
    <t>40 л/40%/сахар</t>
  </si>
  <si>
    <t>выложу в ближайшее время</t>
  </si>
  <si>
    <t>Vitalka73</t>
  </si>
  <si>
    <t>3х3</t>
  </si>
  <si>
    <t>2х1250/симисторный</t>
  </si>
  <si>
    <t>рубашечный</t>
  </si>
  <si>
    <t>28мм.рт.ст.</t>
  </si>
  <si>
    <t>23мм.рт.ст.</t>
  </si>
  <si>
    <t>10-12 часов</t>
  </si>
  <si>
    <t>20/40/сахар</t>
  </si>
  <si>
    <t>niks-merk</t>
  </si>
  <si>
    <t>РАН</t>
  </si>
  <si>
    <t>3.0,2.5,2.0 (0.3мм)</t>
  </si>
  <si>
    <t>-----</t>
  </si>
  <si>
    <t>очень утеплена</t>
  </si>
  <si>
    <t>60 мм рт.ст.</t>
  </si>
  <si>
    <t>18-28 мм рт. ст.</t>
  </si>
  <si>
    <t>750-800</t>
  </si>
  <si>
    <t>4-8 часов</t>
  </si>
  <si>
    <t>45/35-40%/пшен.</t>
  </si>
  <si>
    <t>moh1971</t>
  </si>
  <si>
    <t>3.0*3.0</t>
  </si>
  <si>
    <t>30мм рт.ст</t>
  </si>
  <si>
    <t>15-20 мм.рт.ст</t>
  </si>
  <si>
    <t>4-6 часов</t>
  </si>
  <si>
    <t>15\40.сахар</t>
  </si>
  <si>
    <t>Aleks9410</t>
  </si>
  <si>
    <t>ран 2,7кг/л</t>
  </si>
  <si>
    <t>2,5-2,5</t>
  </si>
  <si>
    <t>4х1,25 РМ-2</t>
  </si>
  <si>
    <t>Врезанные</t>
  </si>
  <si>
    <t xml:space="preserve">пенофол </t>
  </si>
  <si>
    <t xml:space="preserve">Прямой ,Внутри димрот из 8мм нерж трубки 6100мм </t>
  </si>
  <si>
    <t>Пенофол 50мм</t>
  </si>
  <si>
    <t>38мм рт.ст</t>
  </si>
  <si>
    <t>18-20мм.рт.ст</t>
  </si>
  <si>
    <t>950-1050</t>
  </si>
  <si>
    <t>30-35часа</t>
  </si>
  <si>
    <t>60/72-80рис(дробл)</t>
  </si>
  <si>
    <t>всё AISI  304</t>
  </si>
  <si>
    <t>Sem_stv</t>
  </si>
  <si>
    <t>3х3х0,2</t>
  </si>
  <si>
    <t>шнур 8мм, фольга, трубный утеплитель, фольга</t>
  </si>
  <si>
    <t>1.3кПа</t>
  </si>
  <si>
    <t>14 часов</t>
  </si>
  <si>
    <t>35/35/пшеница</t>
  </si>
  <si>
    <t>Архип</t>
  </si>
  <si>
    <t>РАН-3</t>
  </si>
  <si>
    <t xml:space="preserve">Гонево </t>
  </si>
  <si>
    <t>2*(от1 до4)*0.4</t>
  </si>
  <si>
    <t>1.5+1.25+1.25(кВт)     РМ-2</t>
  </si>
  <si>
    <t>врезаны в куб</t>
  </si>
  <si>
    <t>коалиновая вата+пенофол</t>
  </si>
  <si>
    <t>наклонный с "холодным пальцем"</t>
  </si>
  <si>
    <t>0(но попробую)</t>
  </si>
  <si>
    <t>х.б ткань, фольга, двойной трубный утеплитель, стрейч-плёнка</t>
  </si>
  <si>
    <t>~25мм рт ст</t>
  </si>
  <si>
    <t>зависит от объёма сырца</t>
  </si>
  <si>
    <t>15-20л, 30-45%, разное</t>
  </si>
  <si>
    <t>Игорь(Одесса)</t>
  </si>
  <si>
    <t>3.5*3.5*0.25</t>
  </si>
  <si>
    <t>аналогично</t>
  </si>
  <si>
    <t>наклонный с димротом</t>
  </si>
  <si>
    <t>1(2)</t>
  </si>
  <si>
    <t>45 мм рт ст</t>
  </si>
  <si>
    <t>18мм рт ст</t>
  </si>
  <si>
    <t>~1300</t>
  </si>
  <si>
    <t>15-45л., 35-40%, сахар</t>
  </si>
  <si>
    <t>alexeyT</t>
  </si>
  <si>
    <t>спн</t>
  </si>
  <si>
    <t>пена</t>
  </si>
  <si>
    <t>2 слоя пенофола</t>
  </si>
  <si>
    <t>27 мм рт ст</t>
  </si>
  <si>
    <t>5-10 мм рт ст</t>
  </si>
  <si>
    <t>от сырья зависит</t>
  </si>
  <si>
    <t>20-30%</t>
  </si>
  <si>
    <t>Alexey624</t>
  </si>
  <si>
    <t xml:space="preserve">китай  </t>
  </si>
  <si>
    <t>28 шт. ( нерезаны)</t>
  </si>
  <si>
    <t>пенопоэлетилен</t>
  </si>
  <si>
    <t>1 слой утеплителя для труб</t>
  </si>
  <si>
    <t>120-180</t>
  </si>
  <si>
    <t>15литров 40% сахар, варенье</t>
  </si>
  <si>
    <t>Vladl</t>
  </si>
  <si>
    <t>мочалки/спн</t>
  </si>
  <si>
    <t>Китай/самопал</t>
  </si>
  <si>
    <t>12шт/4*4 0,4 мм</t>
  </si>
  <si>
    <t>10 (40+)</t>
  </si>
  <si>
    <t>2000/фазовый или ЛАТР</t>
  </si>
  <si>
    <t>Дно - плоский тэн от эл. чайника</t>
  </si>
  <si>
    <t>10 мм утеплитель</t>
  </si>
  <si>
    <t>13 мм утеплитель труб</t>
  </si>
  <si>
    <t>600 (на литр АС в СС)</t>
  </si>
  <si>
    <t>1-8/20-40%/разное</t>
  </si>
  <si>
    <t>3.5 х 3.5</t>
  </si>
  <si>
    <t>30 мм рт ст</t>
  </si>
  <si>
    <t>imidalv</t>
  </si>
  <si>
    <t>2000+1200/РМ2</t>
  </si>
  <si>
    <t>врезаны в кег</t>
  </si>
  <si>
    <t>двухслойный димрот</t>
  </si>
  <si>
    <t>2 слоя утеплителя для труб + пластиковая труба</t>
  </si>
  <si>
    <t>5 часов</t>
  </si>
  <si>
    <t>40 литров 40 % сахар</t>
  </si>
  <si>
    <t>Fdsa2005</t>
  </si>
  <si>
    <t>3,0х3,0</t>
  </si>
  <si>
    <t>2 слоя фольгированного утеплителя</t>
  </si>
  <si>
    <t>--</t>
  </si>
  <si>
    <t>12мм р ст</t>
  </si>
  <si>
    <t>3-4 ч</t>
  </si>
  <si>
    <t>25/40-50%/патока, голово-хвосты дистиляции, и сборный зерно, мед  и др.</t>
  </si>
  <si>
    <t>Dimassik</t>
  </si>
  <si>
    <t>3кг/л</t>
  </si>
  <si>
    <t>2250 РМ-2</t>
  </si>
  <si>
    <t>вкручены в кег</t>
  </si>
  <si>
    <t>многослойный (основной - поролон)</t>
  </si>
  <si>
    <t>клюшка</t>
  </si>
  <si>
    <t>1 (без ГОСТа)</t>
  </si>
  <si>
    <t>Многослойный (основной - поролон)</t>
  </si>
  <si>
    <t>30мм.рт.</t>
  </si>
  <si>
    <t>От 20 до28мм.рт.</t>
  </si>
  <si>
    <t>24-32ч</t>
  </si>
  <si>
    <t xml:space="preserve">40/40 сахар </t>
  </si>
  <si>
    <t>Diogi 4</t>
  </si>
  <si>
    <t>3,5х3,5</t>
  </si>
  <si>
    <t>28мм.рт.</t>
  </si>
  <si>
    <t>от 20 до26мм.рт.</t>
  </si>
  <si>
    <t>8 -10ч</t>
  </si>
  <si>
    <t>40/40 сахар</t>
  </si>
  <si>
    <t>VitalKa73</t>
  </si>
  <si>
    <t>1250х2/симисторный</t>
  </si>
  <si>
    <t>пуховик )</t>
  </si>
  <si>
    <t>2-х слойный димрот с перегородочным УО</t>
  </si>
  <si>
    <t>3 слоя</t>
  </si>
  <si>
    <t>26мм.рт.</t>
  </si>
  <si>
    <t>20мм.рт.</t>
  </si>
  <si>
    <t>1550/1860/96,9</t>
  </si>
  <si>
    <t>1500 - форсунка больше не пропускает )</t>
  </si>
  <si>
    <t>480</t>
  </si>
  <si>
    <t>33/42/сахар</t>
  </si>
  <si>
    <t>3.5х3.5</t>
  </si>
  <si>
    <t>30/50</t>
  </si>
  <si>
    <t>3000 РМ-2</t>
  </si>
  <si>
    <t>самоклеющийся фольгилированный пенофол</t>
  </si>
  <si>
    <t>20мм фольгилированный пенофол</t>
  </si>
  <si>
    <t>35 ртути</t>
  </si>
  <si>
    <t>20-25 ртути</t>
  </si>
  <si>
    <t>60-100</t>
  </si>
  <si>
    <t>шахтер</t>
  </si>
  <si>
    <t>СЦН</t>
  </si>
  <si>
    <t>1.8*1.4(от 0.6до2.2)</t>
  </si>
  <si>
    <t>16*1кВт через диод</t>
  </si>
  <si>
    <t>врезаны внутрь           вертикально</t>
  </si>
  <si>
    <t>2 пуховика</t>
  </si>
  <si>
    <t>рубашка и димрот</t>
  </si>
  <si>
    <t>1 десятиточечный</t>
  </si>
  <si>
    <t>3слоя ут.труб</t>
  </si>
  <si>
    <t>1000 работа на себя</t>
  </si>
  <si>
    <t>30 мм.рт. работа на    себя</t>
  </si>
  <si>
    <t>28 отбор 0.9 л./ч.      32 отбор 1.4 л./ч.</t>
  </si>
  <si>
    <t>75/120 головы/подголовники</t>
  </si>
  <si>
    <t>31/40-45/сахар</t>
  </si>
  <si>
    <t>без N1</t>
  </si>
  <si>
    <t xml:space="preserve">
</t>
  </si>
  <si>
    <t>формула: атмосферное давление от Т кипения СР  [мм.рт.ст.]</t>
  </si>
  <si>
    <t>средне статистические прикидки</t>
  </si>
  <si>
    <t>введите - Ткипения СР</t>
  </si>
  <si>
    <t>Атмосферное давление - результат</t>
  </si>
  <si>
    <t>P(атм.) = 26,086 х T(кип.)  - 1278,3</t>
  </si>
  <si>
    <t>введите желаемый начальный отбор</t>
  </si>
  <si>
    <t>среднее значение</t>
  </si>
  <si>
    <t>формула: уменьшения отбора при кубовой ректификации [мл]</t>
  </si>
  <si>
    <t>объём насадки</t>
  </si>
  <si>
    <t>введите - начальный отбор</t>
  </si>
  <si>
    <t>введите - температуру в кубе</t>
  </si>
  <si>
    <t>уменьшеный отбор - результат</t>
  </si>
  <si>
    <t>литр</t>
  </si>
  <si>
    <t>высота</t>
  </si>
  <si>
    <t>ссылка что б скачать калькулятор написаный на Visual Basic</t>
  </si>
  <si>
    <t>метр</t>
  </si>
  <si>
    <t>диаметр</t>
  </si>
  <si>
    <t>Vотб. = Vотб.мах.* (6,04 - 0,06 * Ткуба)</t>
  </si>
  <si>
    <t>мм</t>
  </si>
  <si>
    <t>подводимая мощность от диаметра</t>
  </si>
  <si>
    <t>Вт</t>
  </si>
  <si>
    <t>подводимая мощность от отбора</t>
  </si>
  <si>
    <t>https://drive.google.com/file/d/0B5r_HkIhCwbWWjVRRkVaTXZDY1k/edit?usp=sharing</t>
  </si>
  <si>
    <t>числа вводите с запятой, а не с точкой! в желтые клетки</t>
  </si>
  <si>
    <t>физ величины для СР</t>
  </si>
  <si>
    <t>удельный вес пара (78,4 град)</t>
  </si>
  <si>
    <t>Ребята, будьте внимательней, я уже задолбался исправлять то, что вы портите!</t>
  </si>
  <si>
    <t>формула: зависимость процентного содержания спирта от кемпераруры кипения [спирт % мас].</t>
  </si>
  <si>
    <t xml:space="preserve"> кг./м.куб.</t>
  </si>
  <si>
    <t>удельный вес жидкости (78,4 град)</t>
  </si>
  <si>
    <t>кг/м.куб</t>
  </si>
  <si>
    <t>удельная теплота испарения</t>
  </si>
  <si>
    <t>Вт*час/литр</t>
  </si>
  <si>
    <t>спиртуозность - результат</t>
  </si>
  <si>
    <t>плотность (20 град)</t>
  </si>
  <si>
    <t>К% = 35,86 - 36,91 * Ti + 18.7 * Ti ^ 2 - 5.02 * Ti ^ 3 + 0.51 * Ti ^ 4</t>
  </si>
  <si>
    <t>гр/см.куб.</t>
  </si>
  <si>
    <t>вязкость жидкости</t>
  </si>
  <si>
    <t xml:space="preserve"> н*сек/м.кв.</t>
  </si>
  <si>
    <t>где Ti = ( t[град] - 83.76 ) / 5.69</t>
  </si>
  <si>
    <t>рабочая мощность минус 20%[Вт]</t>
  </si>
  <si>
    <t>Высота ВЭЕП при 40 тарелках мм</t>
  </si>
  <si>
    <t>число ВЭЕП 20 см</t>
  </si>
  <si>
    <t>ВЭЕП 2/3 колонны</t>
  </si>
  <si>
    <t>гонево</t>
  </si>
  <si>
    <t xml:space="preserve"> хели-грид</t>
  </si>
  <si>
    <t>Тен 1,75 кВт(перемерял отдельным счетчиком) - раствор 40%</t>
  </si>
  <si>
    <t>пол литры [№]</t>
  </si>
  <si>
    <t>время заполнения [сек.]</t>
  </si>
  <si>
    <t>крепость в поллитре [%]</t>
  </si>
  <si>
    <t>производительность (измерено) [литров/час]</t>
  </si>
  <si>
    <t>удельная теплота испарения [Вт*час/литр]</t>
  </si>
  <si>
    <t>теоретическая производительность [литров/час]</t>
  </si>
  <si>
    <t>теплопотери [%]</t>
  </si>
  <si>
    <t>Тен 3,5 кВт - вода</t>
  </si>
  <si>
    <t>Тен 3,5 кВт - непрерывка</t>
  </si>
  <si>
    <t>1литр</t>
  </si>
  <si>
    <t>производитель</t>
  </si>
  <si>
    <t>мощность Вт</t>
  </si>
  <si>
    <t>производительность 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</si>
</sst>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color rgb="FF000000"/>
      <name val="Arial"/>
    </font>
    <font>
      <sz val="11"/>
      <name val="Arial"/>
    </font>
    <font>
      <sz val="11"/>
      <color rgb="FF000000"/>
      <name val="Arial"/>
    </font>
    <font>
      <u/>
      <sz val="10"/>
      <color rgb="FF0000FF"/>
      <name val="Arial"/>
    </font>
    <font>
      <sz val="10"/>
      <color rgb="FFFF0000"/>
      <name val="Arial"/>
    </font>
    <font>
      <sz val="10"/>
      <name val="Arial"/>
    </font>
    <font>
      <sz val="10"/>
      <color rgb="FFFFFFFF"/>
      <name val="Arial"/>
    </font>
    <font>
      <sz val="10"/>
      <color rgb="FFCC0000"/>
      <name val="Arial"/>
    </font>
    <font>
      <sz val="11"/>
      <color rgb="FFFFFF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b/>
      <i/>
      <sz val="14"/>
      <name val="Arial"/>
    </font>
    <font>
      <b/>
      <sz val="12"/>
      <name val="Arial"/>
    </font>
    <font>
      <b/>
      <sz val="12"/>
      <color rgb="FFFFFFFF"/>
      <name val="Arial"/>
    </font>
    <font>
      <b/>
      <sz val="14"/>
      <color rgb="FF0000FF"/>
      <name val="Arial"/>
    </font>
    <font>
      <sz val="24"/>
      <name val="Arial"/>
    </font>
    <font>
      <b/>
      <sz val="14"/>
      <name val="Arial"/>
    </font>
    <font>
      <b/>
      <sz val="24"/>
      <color rgb="FFFFFFFF"/>
      <name val="Arial"/>
    </font>
    <font>
      <sz val="14"/>
      <name val="Arial"/>
    </font>
    <font>
      <u/>
      <sz val="10"/>
      <color rgb="FF0000FF"/>
      <name val="Arial"/>
    </font>
    <font>
      <sz val="18"/>
      <color rgb="FFFF0000"/>
      <name val="Arial"/>
    </font>
    <font>
      <b/>
      <sz val="12"/>
      <color rgb="FF000000"/>
      <name val="Arial"/>
    </font>
    <font>
      <b/>
      <sz val="12"/>
      <color rgb="FFF3F3F3"/>
      <name val="Arial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1155CC"/>
        <bgColor rgb="FF1155CC"/>
      </patternFill>
    </fill>
    <fill>
      <patternFill patternType="solid">
        <fgColor rgb="FFEFEFEF"/>
        <bgColor rgb="FFEFEFEF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F3F3F3"/>
        <bgColor rgb="FFF3F3F3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09"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3" fontId="5" fillId="3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3" fontId="5" fillId="2" borderId="5" xfId="0" applyNumberFormat="1" applyFont="1" applyFill="1" applyBorder="1" applyAlignment="1">
      <alignment horizontal="center" wrapText="1"/>
    </xf>
    <xf numFmtId="3" fontId="5" fillId="2" borderId="0" xfId="0" applyNumberFormat="1" applyFont="1" applyFill="1" applyAlignment="1">
      <alignment horizontal="center"/>
    </xf>
    <xf numFmtId="3" fontId="5" fillId="0" borderId="0" xfId="0" applyNumberFormat="1" applyFont="1" applyAlignment="1">
      <alignment wrapText="1"/>
    </xf>
    <xf numFmtId="3" fontId="5" fillId="3" borderId="1" xfId="0" applyNumberFormat="1" applyFont="1" applyFill="1" applyBorder="1" applyAlignment="1">
      <alignment horizontal="center" wrapText="1"/>
    </xf>
    <xf numFmtId="4" fontId="5" fillId="0" borderId="0" xfId="0" applyNumberFormat="1" applyFont="1" applyAlignment="1">
      <alignment wrapText="1"/>
    </xf>
    <xf numFmtId="3" fontId="5" fillId="2" borderId="1" xfId="0" applyNumberFormat="1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3" fontId="5" fillId="3" borderId="7" xfId="0" applyNumberFormat="1" applyFont="1" applyFill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3" fontId="5" fillId="3" borderId="0" xfId="0" applyNumberFormat="1" applyFont="1" applyFill="1" applyAlignment="1">
      <alignment horizontal="center" wrapText="1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11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3" fontId="13" fillId="6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14" fillId="5" borderId="8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3" fontId="13" fillId="9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1" fillId="8" borderId="0" xfId="0" applyFont="1" applyFill="1" applyAlignment="1">
      <alignment horizont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3" fontId="13" fillId="6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14" fillId="8" borderId="0" xfId="0" applyFont="1" applyFill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3" fontId="13" fillId="9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3" fontId="13" fillId="0" borderId="0" xfId="0" applyNumberFormat="1" applyFont="1" applyAlignment="1">
      <alignment horizontal="center" vertical="center" wrapText="1"/>
    </xf>
    <xf numFmtId="0" fontId="16" fillId="10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2" fillId="10" borderId="9" xfId="0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left" vertical="center" wrapText="1"/>
    </xf>
    <xf numFmtId="0" fontId="12" fillId="10" borderId="5" xfId="0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21" fillId="10" borderId="0" xfId="0" applyNumberFormat="1" applyFont="1" applyFill="1" applyAlignment="1">
      <alignment horizontal="center" vertical="center" wrapText="1"/>
    </xf>
    <xf numFmtId="0" fontId="5" fillId="0" borderId="12" xfId="0" applyFont="1" applyBorder="1" applyAlignment="1">
      <alignment horizontal="left" wrapText="1"/>
    </xf>
    <xf numFmtId="0" fontId="14" fillId="1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22" fillId="10" borderId="0" xfId="0" applyFont="1" applyFill="1" applyAlignment="1">
      <alignment horizontal="center" vertical="center" wrapText="1"/>
    </xf>
    <xf numFmtId="0" fontId="12" fillId="10" borderId="0" xfId="0" applyFont="1" applyFill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2" borderId="5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3" fontId="4" fillId="0" borderId="5" xfId="0" applyNumberFormat="1" applyFont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wrapText="1"/>
    </xf>
    <xf numFmtId="164" fontId="5" fillId="0" borderId="6" xfId="0" applyNumberFormat="1" applyFont="1" applyBorder="1" applyAlignment="1">
      <alignment horizontal="center" wrapText="1"/>
    </xf>
    <xf numFmtId="164" fontId="5" fillId="0" borderId="0" xfId="0" applyNumberFormat="1" applyFont="1" applyAlignment="1">
      <alignment horizontal="center" wrapText="1"/>
    </xf>
    <xf numFmtId="0" fontId="5" fillId="7" borderId="1" xfId="0" applyFont="1" applyFill="1" applyBorder="1" applyAlignment="1">
      <alignment horizontal="center" wrapText="1"/>
    </xf>
    <xf numFmtId="3" fontId="5" fillId="7" borderId="5" xfId="0" applyNumberFormat="1" applyFont="1" applyFill="1" applyBorder="1" applyAlignment="1">
      <alignment horizontal="center" wrapText="1"/>
    </xf>
    <xf numFmtId="4" fontId="5" fillId="7" borderId="0" xfId="0" applyNumberFormat="1" applyFont="1" applyFill="1" applyAlignment="1">
      <alignment horizontal="center" wrapText="1"/>
    </xf>
    <xf numFmtId="3" fontId="5" fillId="7" borderId="0" xfId="0" applyNumberFormat="1" applyFont="1" applyFill="1" applyAlignment="1">
      <alignment horizontal="center" wrapText="1"/>
    </xf>
    <xf numFmtId="0" fontId="5" fillId="7" borderId="9" xfId="0" applyFont="1" applyFill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4" fontId="5" fillId="0" borderId="13" xfId="0" applyNumberFormat="1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4" fontId="5" fillId="0" borderId="8" xfId="0" applyNumberFormat="1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4" fontId="5" fillId="0" borderId="2" xfId="0" applyNumberFormat="1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 wrapText="1"/>
    </xf>
    <xf numFmtId="4" fontId="5" fillId="3" borderId="4" xfId="0" applyNumberFormat="1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3" fontId="5" fillId="0" borderId="4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3" fontId="5" fillId="0" borderId="6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center" wrapText="1"/>
    </xf>
    <xf numFmtId="3" fontId="5" fillId="0" borderId="7" xfId="0" applyNumberFormat="1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wrapText="1"/>
    </xf>
    <xf numFmtId="4" fontId="5" fillId="2" borderId="7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4" fontId="5" fillId="2" borderId="0" xfId="0" applyNumberFormat="1" applyFont="1" applyFill="1" applyAlignment="1">
      <alignment horizontal="center" wrapText="1"/>
    </xf>
    <xf numFmtId="0" fontId="7" fillId="0" borderId="4" xfId="0" applyFont="1" applyBorder="1" applyAlignment="1">
      <alignment wrapText="1"/>
    </xf>
    <xf numFmtId="4" fontId="5" fillId="2" borderId="4" xfId="0" applyNumberFormat="1" applyFont="1" applyFill="1" applyBorder="1" applyAlignment="1">
      <alignment wrapText="1"/>
    </xf>
    <xf numFmtId="4" fontId="5" fillId="0" borderId="4" xfId="0" applyNumberFormat="1" applyFont="1" applyBorder="1" applyAlignment="1">
      <alignment wrapText="1"/>
    </xf>
    <xf numFmtId="4" fontId="5" fillId="3" borderId="4" xfId="0" applyNumberFormat="1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0" fontId="7" fillId="0" borderId="7" xfId="0" applyFont="1" applyBorder="1" applyAlignment="1">
      <alignment wrapText="1"/>
    </xf>
    <xf numFmtId="4" fontId="5" fillId="2" borderId="7" xfId="0" applyNumberFormat="1" applyFont="1" applyFill="1" applyBorder="1" applyAlignment="1">
      <alignment wrapText="1"/>
    </xf>
    <xf numFmtId="4" fontId="5" fillId="0" borderId="7" xfId="0" applyNumberFormat="1" applyFont="1" applyBorder="1" applyAlignment="1">
      <alignment wrapText="1"/>
    </xf>
    <xf numFmtId="4" fontId="5" fillId="3" borderId="7" xfId="0" applyNumberFormat="1" applyFont="1" applyFill="1" applyBorder="1" applyAlignment="1">
      <alignment wrapText="1"/>
    </xf>
    <xf numFmtId="0" fontId="5" fillId="3" borderId="7" xfId="0" applyFont="1" applyFill="1" applyBorder="1" applyAlignment="1">
      <alignment wrapText="1"/>
    </xf>
    <xf numFmtId="0" fontId="7" fillId="0" borderId="0" xfId="0" applyFont="1" applyAlignment="1">
      <alignment wrapText="1"/>
    </xf>
    <xf numFmtId="4" fontId="5" fillId="2" borderId="0" xfId="0" applyNumberFormat="1" applyFont="1" applyFill="1" applyAlignment="1">
      <alignment wrapText="1"/>
    </xf>
    <xf numFmtId="4" fontId="5" fillId="3" borderId="0" xfId="0" applyNumberFormat="1" applyFont="1" applyFill="1" applyAlignment="1">
      <alignment wrapText="1"/>
    </xf>
    <xf numFmtId="0" fontId="5" fillId="3" borderId="0" xfId="0" applyFont="1" applyFill="1" applyAlignment="1">
      <alignment wrapText="1"/>
    </xf>
    <xf numFmtId="0" fontId="4" fillId="0" borderId="2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2" fillId="7" borderId="0" xfId="0" applyFont="1" applyFill="1" applyAlignment="1">
      <alignment horizontal="center" vertical="center" wrapText="1"/>
    </xf>
    <xf numFmtId="3" fontId="13" fillId="9" borderId="0" xfId="0" applyNumberFormat="1" applyFont="1" applyFill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16" fillId="8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</cellXfs>
  <cellStyles count="1">
    <cellStyle name="Обычный" xfId="0" builtinId="0"/>
  </cellStyles>
  <dxfs count="2">
    <dxf>
      <fill>
        <patternFill patternType="solid">
          <fgColor rgb="FFF4CCCC"/>
          <bgColor rgb="FFF4CCCC"/>
        </patternFill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worksheet" Target="worksheets/sheet8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3.xml"/><Relationship Id="rId15" Type="http://schemas.openxmlformats.org/officeDocument/2006/relationships/styles" Target="styles.xml"/><Relationship Id="rId10" Type="http://schemas.openxmlformats.org/officeDocument/2006/relationships/worksheet" Target="worksheets/sheet5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  <a:latin typeface="Roboto"/>
              </a:defRPr>
            </a:pPr>
            <a:r>
              <a:rPr lang="ru-RU"/>
              <a:t>отношение рабочей мощности к диаметру колонны [Вт/мм]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marker>
            <c:symbol val="none"/>
          </c:marker>
          <c:val>
            <c:numRef>
              <c:f>'расчеты(проба)'!$Y$2:$Y$29</c:f>
              <c:numCache>
                <c:formatCode>#,##0</c:formatCode>
                <c:ptCount val="28"/>
                <c:pt idx="0">
                  <c:v>35</c:v>
                </c:pt>
                <c:pt idx="1">
                  <c:v>24.896551724137932</c:v>
                </c:pt>
                <c:pt idx="2">
                  <c:v>28</c:v>
                </c:pt>
                <c:pt idx="3">
                  <c:v>40.816326530612244</c:v>
                </c:pt>
                <c:pt idx="4">
                  <c:v>18.518518518518519</c:v>
                </c:pt>
                <c:pt idx="5">
                  <c:v>20.833333333333332</c:v>
                </c:pt>
                <c:pt idx="6">
                  <c:v>19.23076923076923</c:v>
                </c:pt>
                <c:pt idx="7">
                  <c:v>25.714285714285715</c:v>
                </c:pt>
                <c:pt idx="8">
                  <c:v>27.884615384615383</c:v>
                </c:pt>
                <c:pt idx="9">
                  <c:v>34.375</c:v>
                </c:pt>
                <c:pt idx="10">
                  <c:v>28.125</c:v>
                </c:pt>
                <c:pt idx="11">
                  <c:v>22.222222222222221</c:v>
                </c:pt>
                <c:pt idx="12">
                  <c:v>18</c:v>
                </c:pt>
                <c:pt idx="13">
                  <c:v>23</c:v>
                </c:pt>
                <c:pt idx="14">
                  <c:v>28.571428571428573</c:v>
                </c:pt>
                <c:pt idx="15">
                  <c:v>10</c:v>
                </c:pt>
                <c:pt idx="16">
                  <c:v>27</c:v>
                </c:pt>
                <c:pt idx="17">
                  <c:v>29.72972972972973</c:v>
                </c:pt>
                <c:pt idx="18">
                  <c:v>28.571428571428573</c:v>
                </c:pt>
                <c:pt idx="19">
                  <c:v>13.235294117647058</c:v>
                </c:pt>
                <c:pt idx="20">
                  <c:v>28.571428571428573</c:v>
                </c:pt>
                <c:pt idx="21">
                  <c:v>34</c:v>
                </c:pt>
                <c:pt idx="22">
                  <c:v>32.432432432432435</c:v>
                </c:pt>
                <c:pt idx="23">
                  <c:v>16.75</c:v>
                </c:pt>
                <c:pt idx="24">
                  <c:v>33.673469387755105</c:v>
                </c:pt>
                <c:pt idx="25">
                  <c:v>37.200000000000003</c:v>
                </c:pt>
                <c:pt idx="26">
                  <c:v>36</c:v>
                </c:pt>
                <c:pt idx="27">
                  <c:v>21.5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029480"/>
        <c:axId val="175025952"/>
      </c:lineChart>
      <c:catAx>
        <c:axId val="17502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ru-RU"/>
                  <a:t>РК</a:t>
                </a:r>
              </a:p>
            </c:rich>
          </c:tx>
          <c:layout/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175025952"/>
        <c:crosses val="autoZero"/>
        <c:auto val="1"/>
        <c:lblAlgn val="ctr"/>
        <c:lblOffset val="100"/>
        <c:noMultiLvlLbl val="1"/>
      </c:catAx>
      <c:valAx>
        <c:axId val="175025952"/>
        <c:scaling>
          <c:orientation val="minMax"/>
          <c:max val="5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ru-RU"/>
              </a:p>
            </c:rich>
          </c:tx>
          <c:layout/>
          <c:overlay val="0"/>
        </c:title>
        <c:numFmt formatCode="#,##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1750294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000000"/>
              </a:solidFill>
              <a:latin typeface="Roboto"/>
            </a:defRPr>
          </a:pPr>
          <a:endParaRPr lang="ru-RU"/>
        </a:p>
      </c:txPr>
    </c:legend>
    <c:plotVisOnly val="0"/>
    <c:dispBlanksAs val="zero"/>
    <c:showDLblsOverMax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  <a:latin typeface="Roboto"/>
              </a:defRPr>
            </a:pPr>
            <a:r>
              <a:rPr lang="ru-RU"/>
              <a:t>отношение рабочей мощности к начальному отбору [Вт/мл]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marker>
            <c:symbol val="none"/>
          </c:marker>
          <c:val>
            <c:numRef>
              <c:f>'расчеты(проба)'!$Z$2:$Z$29</c:f>
              <c:numCache>
                <c:formatCode>#,##0.00</c:formatCode>
                <c:ptCount val="28"/>
                <c:pt idx="0">
                  <c:v>1.3461538461538463</c:v>
                </c:pt>
                <c:pt idx="1">
                  <c:v>1.1107692307692307</c:v>
                </c:pt>
                <c:pt idx="2">
                  <c:v>1.4141414141414141</c:v>
                </c:pt>
                <c:pt idx="3">
                  <c:v>1.6</c:v>
                </c:pt>
                <c:pt idx="4">
                  <c:v>1.25</c:v>
                </c:pt>
                <c:pt idx="5">
                  <c:v>1.25</c:v>
                </c:pt>
                <c:pt idx="6">
                  <c:v>1.1111111111111112</c:v>
                </c:pt>
                <c:pt idx="7">
                  <c:v>1.2</c:v>
                </c:pt>
                <c:pt idx="8">
                  <c:v>1.0357142857142858</c:v>
                </c:pt>
                <c:pt idx="9">
                  <c:v>1.8333333333333333</c:v>
                </c:pt>
                <c:pt idx="10">
                  <c:v>1.5</c:v>
                </c:pt>
                <c:pt idx="11">
                  <c:v>1</c:v>
                </c:pt>
                <c:pt idx="12">
                  <c:v>1.3846153846153846</c:v>
                </c:pt>
                <c:pt idx="13">
                  <c:v>1.1499999999999999</c:v>
                </c:pt>
                <c:pt idx="14">
                  <c:v>1.25</c:v>
                </c:pt>
                <c:pt idx="15">
                  <c:v>1.1666666666666667</c:v>
                </c:pt>
                <c:pt idx="16">
                  <c:v>1.2272727272727273</c:v>
                </c:pt>
                <c:pt idx="17">
                  <c:v>1.2222222222222223</c:v>
                </c:pt>
                <c:pt idx="18">
                  <c:v>1.6666666666666667</c:v>
                </c:pt>
                <c:pt idx="19">
                  <c:v>1.6666666666666667</c:v>
                </c:pt>
                <c:pt idx="20">
                  <c:v>2.25</c:v>
                </c:pt>
                <c:pt idx="21">
                  <c:v>1.1333333333333333</c:v>
                </c:pt>
                <c:pt idx="22">
                  <c:v>1.7142857142857142</c:v>
                </c:pt>
                <c:pt idx="23">
                  <c:v>1.1166666666666667</c:v>
                </c:pt>
                <c:pt idx="24">
                  <c:v>1.1000000000000001</c:v>
                </c:pt>
                <c:pt idx="25">
                  <c:v>1.24</c:v>
                </c:pt>
                <c:pt idx="26">
                  <c:v>1.3846153846153846</c:v>
                </c:pt>
                <c:pt idx="27">
                  <c:v>0.7678571428571429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026736"/>
        <c:axId val="175028696"/>
      </c:lineChart>
      <c:catAx>
        <c:axId val="17502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ru-RU"/>
                  <a:t>РК</a:t>
                </a:r>
              </a:p>
            </c:rich>
          </c:tx>
          <c:layout/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175028696"/>
        <c:crosses val="autoZero"/>
        <c:auto val="1"/>
        <c:lblAlgn val="ctr"/>
        <c:lblOffset val="100"/>
        <c:noMultiLvlLbl val="1"/>
      </c:catAx>
      <c:valAx>
        <c:axId val="1750286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ru-RU"/>
              </a:p>
            </c:rich>
          </c:tx>
          <c:layout/>
          <c:overlay val="0"/>
        </c:title>
        <c:numFmt formatCode="#,##0.0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17502673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000000"/>
              </a:solidFill>
              <a:latin typeface="Roboto"/>
            </a:defRPr>
          </a:pPr>
          <a:endParaRPr lang="ru-RU"/>
        </a:p>
      </c:txPr>
    </c:legend>
    <c:plotVisOnly val="0"/>
    <c:dispBlanksAs val="zero"/>
    <c:showDLblsOverMax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  <a:latin typeface="Roboto"/>
              </a:defRPr>
            </a:pPr>
            <a:r>
              <a:rPr lang="ru-RU"/>
              <a:t>отношение высоты насадочной части к диаметру [мм/мм]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marker>
            <c:symbol val="none"/>
          </c:marker>
          <c:val>
            <c:numRef>
              <c:f>'расчеты(проба)'!$AA$2:$AA$29</c:f>
              <c:numCache>
                <c:formatCode>#,##0</c:formatCode>
                <c:ptCount val="28"/>
                <c:pt idx="0">
                  <c:v>32</c:v>
                </c:pt>
                <c:pt idx="1">
                  <c:v>41.379310344827587</c:v>
                </c:pt>
                <c:pt idx="2">
                  <c:v>16</c:v>
                </c:pt>
                <c:pt idx="3">
                  <c:v>38.265306122448976</c:v>
                </c:pt>
                <c:pt idx="4">
                  <c:v>59.25925925925926</c:v>
                </c:pt>
                <c:pt idx="5">
                  <c:v>29.166666666666668</c:v>
                </c:pt>
                <c:pt idx="6">
                  <c:v>53.846153846153847</c:v>
                </c:pt>
                <c:pt idx="7">
                  <c:v>37.142857142857146</c:v>
                </c:pt>
                <c:pt idx="8">
                  <c:v>25</c:v>
                </c:pt>
                <c:pt idx="9">
                  <c:v>33.333333333333336</c:v>
                </c:pt>
                <c:pt idx="10">
                  <c:v>40.625</c:v>
                </c:pt>
                <c:pt idx="11">
                  <c:v>40.277777777777779</c:v>
                </c:pt>
                <c:pt idx="12">
                  <c:v>30</c:v>
                </c:pt>
                <c:pt idx="13">
                  <c:v>38.4</c:v>
                </c:pt>
                <c:pt idx="14">
                  <c:v>41.428571428571431</c:v>
                </c:pt>
                <c:pt idx="15">
                  <c:v>38.571428571428569</c:v>
                </c:pt>
                <c:pt idx="16">
                  <c:v>29</c:v>
                </c:pt>
                <c:pt idx="17">
                  <c:v>39.189189189189186</c:v>
                </c:pt>
                <c:pt idx="18">
                  <c:v>41.428571428571431</c:v>
                </c:pt>
                <c:pt idx="19">
                  <c:v>28.571428571428573</c:v>
                </c:pt>
                <c:pt idx="20">
                  <c:v>44.117647058823529</c:v>
                </c:pt>
                <c:pt idx="21">
                  <c:v>30</c:v>
                </c:pt>
                <c:pt idx="22">
                  <c:v>37.837837837837839</c:v>
                </c:pt>
                <c:pt idx="23">
                  <c:v>39.5</c:v>
                </c:pt>
                <c:pt idx="24">
                  <c:v>32.04081632653061</c:v>
                </c:pt>
                <c:pt idx="25">
                  <c:v>32</c:v>
                </c:pt>
                <c:pt idx="26">
                  <c:v>32</c:v>
                </c:pt>
                <c:pt idx="27">
                  <c:v>25.6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60992"/>
        <c:axId val="254661384"/>
      </c:lineChart>
      <c:catAx>
        <c:axId val="25466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ru-RU"/>
                  <a:t>РК</a:t>
                </a:r>
              </a:p>
            </c:rich>
          </c:tx>
          <c:layout/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254661384"/>
        <c:crosses val="autoZero"/>
        <c:auto val="1"/>
        <c:lblAlgn val="ctr"/>
        <c:lblOffset val="100"/>
        <c:noMultiLvlLbl val="1"/>
      </c:catAx>
      <c:valAx>
        <c:axId val="254661384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ru-RU"/>
              </a:p>
            </c:rich>
          </c:tx>
          <c:layout/>
          <c:overlay val="0"/>
        </c:title>
        <c:numFmt formatCode="#,##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2546609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000000"/>
              </a:solidFill>
              <a:latin typeface="Roboto"/>
            </a:defRPr>
          </a:pPr>
          <a:endParaRPr lang="ru-RU"/>
        </a:p>
      </c:txPr>
    </c:legend>
    <c:plotVisOnly val="0"/>
    <c:dispBlanksAs val="zero"/>
    <c:showDLblsOverMax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  <a:latin typeface="Roboto"/>
              </a:defRPr>
            </a:pPr>
            <a:r>
              <a:rPr lang="ru-RU"/>
              <a:t>отношение высоты насадочной части к объёму [м/л]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6.1510000000000002E-2"/>
          <c:y val="0.10269"/>
          <c:w val="0.89104000000000005"/>
          <c:h val="0.79204000000000008"/>
        </c:manualLayout>
      </c:layout>
      <c:lineChart>
        <c:grouping val="standard"/>
        <c:varyColors val="1"/>
        <c:ser>
          <c:idx val="0"/>
          <c:order val="0"/>
          <c:marker>
            <c:symbol val="none"/>
          </c:marker>
          <c:val>
            <c:numRef>
              <c:f>'расчеты(проба)'!$AB$2:$AB$29</c:f>
              <c:numCache>
                <c:formatCode>#,##0.00</c:formatCode>
                <c:ptCount val="28"/>
                <c:pt idx="0">
                  <c:v>0.50931083877128758</c:v>
                </c:pt>
                <c:pt idx="1">
                  <c:v>1.5140036824354564</c:v>
                </c:pt>
                <c:pt idx="2">
                  <c:v>0.50931083877128758</c:v>
                </c:pt>
                <c:pt idx="3">
                  <c:v>0.82861118865070449</c:v>
                </c:pt>
                <c:pt idx="4">
                  <c:v>1.7466078147163497</c:v>
                </c:pt>
                <c:pt idx="5">
                  <c:v>0.55263762887509493</c:v>
                </c:pt>
                <c:pt idx="6">
                  <c:v>0.47088650034327617</c:v>
                </c:pt>
                <c:pt idx="7">
                  <c:v>1.0394098750434442</c:v>
                </c:pt>
                <c:pt idx="8">
                  <c:v>0.47088650034327623</c:v>
                </c:pt>
                <c:pt idx="9">
                  <c:v>0.55263762887509504</c:v>
                </c:pt>
                <c:pt idx="10">
                  <c:v>1.2434346649689638</c:v>
                </c:pt>
                <c:pt idx="11">
                  <c:v>0.98246689577794677</c:v>
                </c:pt>
                <c:pt idx="12">
                  <c:v>0.50931083877128758</c:v>
                </c:pt>
                <c:pt idx="13">
                  <c:v>0.96704589640117888</c:v>
                </c:pt>
                <c:pt idx="14">
                  <c:v>0.38463578969706613</c:v>
                </c:pt>
                <c:pt idx="15">
                  <c:v>0.96772643538527559</c:v>
                </c:pt>
                <c:pt idx="16">
                  <c:v>1.1164031991207362</c:v>
                </c:pt>
                <c:pt idx="17">
                  <c:v>0.50931083877128758</c:v>
                </c:pt>
                <c:pt idx="18">
                  <c:v>0.93007823004252654</c:v>
                </c:pt>
                <c:pt idx="19">
                  <c:v>0.71683439658168557</c:v>
                </c:pt>
                <c:pt idx="20">
                  <c:v>1.5591148125651662</c:v>
                </c:pt>
                <c:pt idx="21">
                  <c:v>1.1014507758894627</c:v>
                </c:pt>
                <c:pt idx="22">
                  <c:v>0.47535678285320171</c:v>
                </c:pt>
                <c:pt idx="23">
                  <c:v>1.0496597167622803</c:v>
                </c:pt>
                <c:pt idx="24">
                  <c:v>0.53031116073645113</c:v>
                </c:pt>
                <c:pt idx="25">
                  <c:v>0.50931083877128758</c:v>
                </c:pt>
                <c:pt idx="26">
                  <c:v>0.50931083877128758</c:v>
                </c:pt>
                <c:pt idx="27">
                  <c:v>0.50931083877128769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62168"/>
        <c:axId val="254662560"/>
      </c:lineChart>
      <c:catAx>
        <c:axId val="25466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ru-RU"/>
                  <a:t>РК</a:t>
                </a:r>
              </a:p>
            </c:rich>
          </c:tx>
          <c:layout/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254662560"/>
        <c:crosses val="autoZero"/>
        <c:auto val="1"/>
        <c:lblAlgn val="ctr"/>
        <c:lblOffset val="100"/>
        <c:noMultiLvlLbl val="1"/>
      </c:catAx>
      <c:valAx>
        <c:axId val="254662560"/>
        <c:scaling>
          <c:orientation val="minMax"/>
          <c:max val="1.8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ru-RU"/>
              </a:p>
            </c:rich>
          </c:tx>
          <c:layout/>
          <c:overlay val="0"/>
        </c:title>
        <c:numFmt formatCode="#,##0.0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2546621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000000"/>
              </a:solidFill>
              <a:latin typeface="Roboto"/>
            </a:defRPr>
          </a:pPr>
          <a:endParaRPr lang="ru-RU"/>
        </a:p>
      </c:txPr>
    </c:legend>
    <c:plotVisOnly val="0"/>
    <c:dispBlanksAs val="zero"/>
    <c:showDLblsOverMax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  <a:latin typeface="Roboto"/>
              </a:defRPr>
            </a:pPr>
            <a:r>
              <a:rPr lang="ru-RU"/>
              <a:t>отношение объёма начального отбора к объёму насадочной части [л/л]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marker>
            <c:symbol val="none"/>
          </c:marker>
          <c:val>
            <c:numRef>
              <c:f>'расчеты(проба)'!$AC$2:$AC$29</c:f>
              <c:numCache>
                <c:formatCode>#,##0.00</c:formatCode>
                <c:ptCount val="28"/>
                <c:pt idx="0">
                  <c:v>0.41381505650167116</c:v>
                </c:pt>
                <c:pt idx="1">
                  <c:v>0.82008532798587219</c:v>
                </c:pt>
                <c:pt idx="2">
                  <c:v>0.63027216297946842</c:v>
                </c:pt>
                <c:pt idx="3">
                  <c:v>0.55240745910046962</c:v>
                </c:pt>
                <c:pt idx="4">
                  <c:v>0.43665195367908743</c:v>
                </c:pt>
                <c:pt idx="5">
                  <c:v>0.31579293078576859</c:v>
                </c:pt>
                <c:pt idx="6">
                  <c:v>0.15135637511033878</c:v>
                </c:pt>
                <c:pt idx="7">
                  <c:v>0.59965954329429472</c:v>
                </c:pt>
                <c:pt idx="8">
                  <c:v>0.50710853883122053</c:v>
                </c:pt>
                <c:pt idx="9">
                  <c:v>0.31085866624224096</c:v>
                </c:pt>
                <c:pt idx="10">
                  <c:v>0.57389292229336786</c:v>
                </c:pt>
                <c:pt idx="11">
                  <c:v>0.54205070111886722</c:v>
                </c:pt>
                <c:pt idx="12">
                  <c:v>0.22070136346755795</c:v>
                </c:pt>
                <c:pt idx="13">
                  <c:v>0.5036697377089473</c:v>
                </c:pt>
                <c:pt idx="14">
                  <c:v>0.21221284948803651</c:v>
                </c:pt>
                <c:pt idx="15">
                  <c:v>0.21505031897450566</c:v>
                </c:pt>
                <c:pt idx="16">
                  <c:v>0.84692656485021378</c:v>
                </c:pt>
                <c:pt idx="17">
                  <c:v>0.31612396889252337</c:v>
                </c:pt>
                <c:pt idx="18">
                  <c:v>0.38485995725897648</c:v>
                </c:pt>
                <c:pt idx="19">
                  <c:v>0.43010063794901132</c:v>
                </c:pt>
                <c:pt idx="20">
                  <c:v>0.20788197500868882</c:v>
                </c:pt>
                <c:pt idx="21">
                  <c:v>1.1014507758894627</c:v>
                </c:pt>
                <c:pt idx="22">
                  <c:v>0.23767839142660085</c:v>
                </c:pt>
                <c:pt idx="23">
                  <c:v>0.39860495573251142</c:v>
                </c:pt>
                <c:pt idx="24">
                  <c:v>0.50666671407941188</c:v>
                </c:pt>
                <c:pt idx="25">
                  <c:v>0.47747891134808212</c:v>
                </c:pt>
                <c:pt idx="26">
                  <c:v>0.41381505650167116</c:v>
                </c:pt>
                <c:pt idx="27">
                  <c:v>0.55705872990609584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5079176"/>
        <c:axId val="245079568"/>
      </c:lineChart>
      <c:catAx>
        <c:axId val="24507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ru-RU"/>
                  <a:t>РК</a:t>
                </a:r>
              </a:p>
            </c:rich>
          </c:tx>
          <c:layout/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245079568"/>
        <c:crosses val="autoZero"/>
        <c:auto val="1"/>
        <c:lblAlgn val="ctr"/>
        <c:lblOffset val="100"/>
        <c:noMultiLvlLbl val="1"/>
      </c:catAx>
      <c:valAx>
        <c:axId val="245079568"/>
        <c:scaling>
          <c:orientation val="minMax"/>
          <c:max val="1.2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ru-RU"/>
              </a:p>
            </c:rich>
          </c:tx>
          <c:layout/>
          <c:overlay val="0"/>
        </c:title>
        <c:numFmt formatCode="#,##0.0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2450791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000000"/>
              </a:solidFill>
              <a:latin typeface="Roboto"/>
            </a:defRPr>
          </a:pPr>
          <a:endParaRPr lang="ru-RU"/>
        </a:p>
      </c:txPr>
    </c:legend>
    <c:plotVisOnly val="0"/>
    <c:dispBlanksAs val="zero"/>
    <c:showDLblsOverMax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1"/>
  <c:style val="2"/>
  <c:chart>
    <c:title>
      <c:tx>
        <c:rich>
          <a:bodyPr/>
          <a:lstStyle/>
          <a:p>
            <a:pPr lvl="0">
              <a:defRPr sz="1600" b="0">
                <a:solidFill>
                  <a:srgbClr val="000000"/>
                </a:solidFill>
                <a:latin typeface="Roboto"/>
              </a:defRPr>
            </a:pPr>
            <a:r>
              <a:rPr lang="ru-RU"/>
              <a:t>Название диаграммы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1"/>
        <c:ser>
          <c:idx val="0"/>
          <c:order val="0"/>
          <c:spPr>
            <a:solidFill>
              <a:srgbClr val="3366CC">
                <a:alpha val="30000"/>
              </a:srgbClr>
            </a:solidFill>
            <a:ln w="19050" cmpd="sng">
              <a:solidFill>
                <a:srgbClr val="3366CC"/>
              </a:solidFill>
            </a:ln>
          </c:spPr>
          <c:val>
            <c:numRef>
              <c:f>'Теплопотери(mekkaod)'!$G$3:$G$16</c:f>
              <c:numCache>
                <c:formatCode>#,##0</c:formatCode>
                <c:ptCount val="14"/>
                <c:pt idx="0">
                  <c:v>11.81331815594765</c:v>
                </c:pt>
                <c:pt idx="1">
                  <c:v>18.787255909558066</c:v>
                </c:pt>
                <c:pt idx="2">
                  <c:v>27.810109890109892</c:v>
                </c:pt>
                <c:pt idx="3">
                  <c:v>34.339788089148705</c:v>
                </c:pt>
                <c:pt idx="4">
                  <c:v>35.49566223250433</c:v>
                </c:pt>
                <c:pt idx="5">
                  <c:v>37.249466950959487</c:v>
                </c:pt>
                <c:pt idx="6">
                  <c:v>37.791560752414853</c:v>
                </c:pt>
                <c:pt idx="7">
                  <c:v>38.961294862772704</c:v>
                </c:pt>
                <c:pt idx="8">
                  <c:v>38.035225048923685</c:v>
                </c:pt>
                <c:pt idx="9">
                  <c:v>44.348071164347367</c:v>
                </c:pt>
                <c:pt idx="10">
                  <c:v>38.472275004318526</c:v>
                </c:pt>
                <c:pt idx="11">
                  <c:v>34.904433497536935</c:v>
                </c:pt>
                <c:pt idx="12">
                  <c:v>33.417666303162484</c:v>
                </c:pt>
                <c:pt idx="13">
                  <c:v>30.168401135288548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080352"/>
        <c:axId val="245080744"/>
      </c:areaChart>
      <c:catAx>
        <c:axId val="24508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ru-RU"/>
                  <a:t>Название горизонтальной оси</a:t>
                </a:r>
              </a:p>
            </c:rich>
          </c:tx>
          <c:layout/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245080744"/>
        <c:crosses val="autoZero"/>
        <c:auto val="1"/>
        <c:lblAlgn val="ctr"/>
        <c:lblOffset val="100"/>
        <c:noMultiLvlLbl val="1"/>
      </c:catAx>
      <c:valAx>
        <c:axId val="2450807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ru-RU"/>
              </a:p>
            </c:rich>
          </c:tx>
          <c:layout/>
          <c:overlay val="0"/>
        </c:title>
        <c:numFmt formatCode="#,##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ru-RU"/>
          </a:p>
        </c:txPr>
        <c:crossAx val="245080352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ru-RU"/>
        </a:p>
      </c:txPr>
    </c:legend>
    <c:plotVisOnly val="0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1190625</xdr:colOff>
      <xdr:row>2</xdr:row>
      <xdr:rowOff>342900</xdr:rowOff>
    </xdr:from>
    <xdr:ext cx="4229100" cy="2628900"/>
    <xdr:graphicFrame macro="">
      <xdr:nvGraphicFramePr>
        <xdr:cNvPr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forum.homedistiller.ru/index.php?topic=47272.0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forum.homedistiller.ru/index.php?topic=41940.0" TargetMode="External"/><Relationship Id="rId1" Type="http://schemas.openxmlformats.org/officeDocument/2006/relationships/hyperlink" Target="http://forum.homedistiller.ru/index.php?topic=53272.0" TargetMode="External"/><Relationship Id="rId6" Type="http://schemas.openxmlformats.org/officeDocument/2006/relationships/vmlDrawing" Target="../drawings/vmlDrawing1.vml"/><Relationship Id="rId5" Type="http://schemas.openxmlformats.org/officeDocument/2006/relationships/hyperlink" Target="http://forum.homedistiller.ru/index.php?topic=33256.0" TargetMode="External"/><Relationship Id="rId4" Type="http://schemas.openxmlformats.org/officeDocument/2006/relationships/hyperlink" Target="http://forum.homedistiller.ru/index.php?topic=33256.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0B5r_HkIhCwbWWjVRRkVaTXZDY1k/edit?usp=sharing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V140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14.44140625" defaultRowHeight="12.75" customHeight="1" x14ac:dyDescent="0.25"/>
  <cols>
    <col min="1" max="1" width="17.33203125" customWidth="1"/>
    <col min="2" max="2" width="5.44140625" customWidth="1"/>
    <col min="3" max="13" width="17.33203125" customWidth="1"/>
    <col min="14" max="14" width="26" customWidth="1"/>
    <col min="15" max="15" width="17.33203125" customWidth="1"/>
    <col min="16" max="16" width="15.88671875" customWidth="1"/>
    <col min="17" max="28" width="17.33203125" customWidth="1"/>
    <col min="29" max="30" width="20.5546875" customWidth="1"/>
    <col min="31" max="31" width="17.33203125" customWidth="1"/>
    <col min="32" max="32" width="21.109375" customWidth="1"/>
    <col min="33" max="33" width="20.109375" customWidth="1"/>
    <col min="34" max="34" width="21" customWidth="1"/>
    <col min="35" max="48" width="17.33203125" customWidth="1"/>
  </cols>
  <sheetData>
    <row r="1" spans="1:48" ht="24" customHeight="1" x14ac:dyDescent="0.25">
      <c r="A1" s="4" t="s">
        <v>2</v>
      </c>
      <c r="B1" s="6"/>
      <c r="C1" s="191" t="s">
        <v>9</v>
      </c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3"/>
      <c r="AM1" s="13"/>
      <c r="AN1" s="9"/>
      <c r="AO1" s="9"/>
      <c r="AP1" s="9"/>
      <c r="AQ1" s="9"/>
      <c r="AR1" s="9"/>
      <c r="AS1" s="9"/>
      <c r="AT1" s="9"/>
      <c r="AU1" s="9"/>
      <c r="AV1" s="8"/>
    </row>
    <row r="2" spans="1:48" ht="88.8" customHeight="1" x14ac:dyDescent="0.25">
      <c r="A2" s="1" t="s">
        <v>25</v>
      </c>
      <c r="B2" s="2" t="s">
        <v>1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35</v>
      </c>
      <c r="J2" s="1" t="s">
        <v>37</v>
      </c>
      <c r="K2" s="1" t="s">
        <v>39</v>
      </c>
      <c r="L2" s="1" t="s">
        <v>40</v>
      </c>
      <c r="M2" s="1" t="s">
        <v>41</v>
      </c>
      <c r="N2" s="1" t="s">
        <v>42</v>
      </c>
      <c r="O2" s="1" t="s">
        <v>43</v>
      </c>
      <c r="P2" s="18" t="s">
        <v>44</v>
      </c>
      <c r="Q2" s="1" t="s">
        <v>45</v>
      </c>
      <c r="R2" s="1" t="s">
        <v>46</v>
      </c>
      <c r="S2" s="1" t="s">
        <v>47</v>
      </c>
      <c r="T2" s="1" t="s">
        <v>48</v>
      </c>
      <c r="U2" s="1" t="s">
        <v>49</v>
      </c>
      <c r="V2" s="1" t="s">
        <v>50</v>
      </c>
      <c r="W2" s="1" t="s">
        <v>51</v>
      </c>
      <c r="X2" s="1" t="s">
        <v>52</v>
      </c>
      <c r="Y2" s="1" t="s">
        <v>53</v>
      </c>
      <c r="Z2" s="1" t="s">
        <v>54</v>
      </c>
      <c r="AA2" s="1" t="s">
        <v>55</v>
      </c>
      <c r="AB2" s="1" t="s">
        <v>56</v>
      </c>
      <c r="AC2" s="1" t="s">
        <v>57</v>
      </c>
      <c r="AD2" s="1" t="s">
        <v>58</v>
      </c>
      <c r="AE2" s="1" t="s">
        <v>59</v>
      </c>
      <c r="AF2" s="1" t="s">
        <v>60</v>
      </c>
      <c r="AG2" s="1" t="s">
        <v>61</v>
      </c>
      <c r="AH2" s="1" t="s">
        <v>62</v>
      </c>
      <c r="AI2" s="1" t="s">
        <v>63</v>
      </c>
      <c r="AJ2" s="19" t="s">
        <v>64</v>
      </c>
      <c r="AK2" s="1" t="s">
        <v>65</v>
      </c>
      <c r="AL2" s="1" t="s">
        <v>66</v>
      </c>
      <c r="AM2" s="13"/>
      <c r="AN2" s="9"/>
      <c r="AO2" s="9"/>
      <c r="AP2" s="9"/>
      <c r="AQ2" s="9"/>
      <c r="AR2" s="9"/>
      <c r="AS2" s="9"/>
      <c r="AT2" s="9"/>
      <c r="AU2" s="9"/>
      <c r="AV2" s="8"/>
    </row>
    <row r="3" spans="1:48" ht="17.399999999999999" customHeight="1" x14ac:dyDescent="0.25">
      <c r="A3" s="21"/>
      <c r="B3" s="22"/>
      <c r="C3" s="24">
        <v>1</v>
      </c>
      <c r="D3" s="24">
        <v>2</v>
      </c>
      <c r="E3" s="24">
        <v>3</v>
      </c>
      <c r="F3" s="28" t="s">
        <v>67</v>
      </c>
      <c r="G3" s="24">
        <v>4.0999999999999996</v>
      </c>
      <c r="H3" s="24">
        <v>4.2</v>
      </c>
      <c r="I3" s="24">
        <v>5</v>
      </c>
      <c r="J3" s="24">
        <v>6</v>
      </c>
      <c r="K3" s="29">
        <v>7</v>
      </c>
      <c r="L3" s="29">
        <v>8</v>
      </c>
      <c r="M3" s="24">
        <v>9</v>
      </c>
      <c r="N3" s="29">
        <v>10</v>
      </c>
      <c r="O3" s="24">
        <v>10.1</v>
      </c>
      <c r="P3" s="24">
        <v>10.199999999999999</v>
      </c>
      <c r="Q3" s="24">
        <v>11</v>
      </c>
      <c r="R3" s="24">
        <v>12</v>
      </c>
      <c r="S3" s="21"/>
      <c r="T3" s="24">
        <v>13</v>
      </c>
      <c r="U3" s="24">
        <v>14</v>
      </c>
      <c r="V3" s="24">
        <v>15</v>
      </c>
      <c r="W3" s="24">
        <v>16</v>
      </c>
      <c r="X3" s="24">
        <v>17</v>
      </c>
      <c r="Y3" s="24">
        <v>18</v>
      </c>
      <c r="Z3" s="24">
        <v>19</v>
      </c>
      <c r="AA3" s="24">
        <v>20</v>
      </c>
      <c r="AB3" s="24">
        <v>21</v>
      </c>
      <c r="AC3" s="24">
        <v>22</v>
      </c>
      <c r="AD3" s="24">
        <v>23</v>
      </c>
      <c r="AE3" s="24">
        <v>24</v>
      </c>
      <c r="AF3" s="24">
        <v>25</v>
      </c>
      <c r="AG3" s="24">
        <v>26</v>
      </c>
      <c r="AH3" s="30">
        <v>27</v>
      </c>
      <c r="AI3" s="24">
        <v>28</v>
      </c>
      <c r="AJ3" s="28" t="s">
        <v>68</v>
      </c>
      <c r="AK3" s="24">
        <v>30</v>
      </c>
      <c r="AL3" s="24">
        <v>31</v>
      </c>
      <c r="AM3" s="13"/>
      <c r="AN3" s="9"/>
      <c r="AO3" s="9"/>
      <c r="AP3" s="9"/>
      <c r="AQ3" s="9"/>
      <c r="AR3" s="9"/>
      <c r="AS3" s="9"/>
      <c r="AT3" s="9"/>
      <c r="AU3" s="9"/>
      <c r="AV3" s="8"/>
    </row>
    <row r="4" spans="1:48" ht="69" x14ac:dyDescent="0.25">
      <c r="A4" s="31" t="s">
        <v>69</v>
      </c>
      <c r="B4" s="32">
        <v>1</v>
      </c>
      <c r="C4" s="31" t="s">
        <v>70</v>
      </c>
      <c r="D4" s="31" t="s">
        <v>71</v>
      </c>
      <c r="E4" s="31" t="s">
        <v>72</v>
      </c>
      <c r="F4" s="33"/>
      <c r="G4" s="31">
        <v>270</v>
      </c>
      <c r="H4" s="34">
        <v>840</v>
      </c>
      <c r="I4" s="31">
        <v>50</v>
      </c>
      <c r="J4" s="34">
        <v>660</v>
      </c>
      <c r="K4" s="35" t="s">
        <v>73</v>
      </c>
      <c r="L4" s="35" t="s">
        <v>74</v>
      </c>
      <c r="M4" s="31" t="s">
        <v>75</v>
      </c>
      <c r="N4" s="35" t="s">
        <v>76</v>
      </c>
      <c r="O4" s="34">
        <v>500</v>
      </c>
      <c r="P4" s="36">
        <v>1040</v>
      </c>
      <c r="Q4" s="31">
        <v>50</v>
      </c>
      <c r="R4" s="31">
        <v>1600</v>
      </c>
      <c r="S4" s="33"/>
      <c r="T4" s="31">
        <v>1600</v>
      </c>
      <c r="U4" s="31" t="s">
        <v>77</v>
      </c>
      <c r="V4" s="31">
        <v>1</v>
      </c>
      <c r="W4" s="31" t="s">
        <v>78</v>
      </c>
      <c r="X4" s="31">
        <v>3500</v>
      </c>
      <c r="Y4" s="31" t="s">
        <v>79</v>
      </c>
      <c r="Z4" s="31" t="s">
        <v>79</v>
      </c>
      <c r="AA4" s="31">
        <v>1750</v>
      </c>
      <c r="AB4" s="31" t="s">
        <v>80</v>
      </c>
      <c r="AC4" s="37"/>
      <c r="AD4" s="34" t="s">
        <v>81</v>
      </c>
      <c r="AE4" s="34" t="s">
        <v>82</v>
      </c>
      <c r="AF4" s="34" t="s">
        <v>83</v>
      </c>
      <c r="AG4" s="31">
        <v>1500</v>
      </c>
      <c r="AH4" s="38">
        <v>1300</v>
      </c>
      <c r="AI4" s="31">
        <v>75</v>
      </c>
      <c r="AJ4" s="39"/>
      <c r="AK4" s="33"/>
      <c r="AL4" s="41" t="s">
        <v>84</v>
      </c>
      <c r="AM4" s="13"/>
      <c r="AN4" s="9"/>
      <c r="AO4" s="9"/>
      <c r="AP4" s="9"/>
      <c r="AQ4" s="9"/>
      <c r="AR4" s="9"/>
      <c r="AS4" s="9"/>
      <c r="AT4" s="9"/>
      <c r="AU4" s="9"/>
      <c r="AV4" s="8"/>
    </row>
    <row r="5" spans="1:48" ht="27.6" x14ac:dyDescent="0.25">
      <c r="A5" s="42" t="s">
        <v>85</v>
      </c>
      <c r="B5" s="43">
        <v>2</v>
      </c>
      <c r="C5" s="42" t="s">
        <v>86</v>
      </c>
      <c r="D5" s="42" t="s">
        <v>87</v>
      </c>
      <c r="E5" s="42" t="s">
        <v>88</v>
      </c>
      <c r="F5" s="42">
        <v>0.25</v>
      </c>
      <c r="G5" s="42">
        <v>1200</v>
      </c>
      <c r="H5" s="45">
        <v>1200</v>
      </c>
      <c r="I5" s="42">
        <v>20</v>
      </c>
      <c r="J5" s="45">
        <v>450</v>
      </c>
      <c r="K5" s="46">
        <v>1500</v>
      </c>
      <c r="L5" s="46" t="s">
        <v>89</v>
      </c>
      <c r="M5" s="42" t="s">
        <v>90</v>
      </c>
      <c r="N5" s="46" t="s">
        <v>91</v>
      </c>
      <c r="O5" s="47" t="s">
        <v>92</v>
      </c>
      <c r="P5" s="48"/>
      <c r="Q5" s="42">
        <v>29</v>
      </c>
      <c r="R5" s="42">
        <v>1500</v>
      </c>
      <c r="S5" s="49"/>
      <c r="T5" s="42">
        <v>1200</v>
      </c>
      <c r="U5" s="42">
        <v>1</v>
      </c>
      <c r="V5" s="49"/>
      <c r="W5" s="49"/>
      <c r="X5" s="42">
        <v>722</v>
      </c>
      <c r="Y5" s="42">
        <v>750</v>
      </c>
      <c r="Z5" s="42" t="s">
        <v>93</v>
      </c>
      <c r="AA5" s="42">
        <v>722</v>
      </c>
      <c r="AB5" s="42" t="s">
        <v>94</v>
      </c>
      <c r="AC5" s="50"/>
      <c r="AD5" s="50"/>
      <c r="AE5" s="50"/>
      <c r="AF5" s="50"/>
      <c r="AG5" s="42">
        <v>700</v>
      </c>
      <c r="AH5" s="51">
        <v>650</v>
      </c>
      <c r="AI5" s="42">
        <v>50</v>
      </c>
      <c r="AJ5" s="52"/>
      <c r="AK5" s="42" t="s">
        <v>95</v>
      </c>
      <c r="AL5" s="49"/>
      <c r="AM5" s="13"/>
      <c r="AN5" s="9"/>
      <c r="AO5" s="9"/>
      <c r="AP5" s="9"/>
      <c r="AQ5" s="9"/>
      <c r="AR5" s="9"/>
      <c r="AS5" s="9"/>
      <c r="AT5" s="9"/>
      <c r="AU5" s="9"/>
      <c r="AV5" s="8"/>
    </row>
    <row r="6" spans="1:48" ht="52.8" x14ac:dyDescent="0.25">
      <c r="A6" s="42" t="s">
        <v>96</v>
      </c>
      <c r="B6" s="43">
        <v>3</v>
      </c>
      <c r="C6" s="42" t="s">
        <v>97</v>
      </c>
      <c r="D6" s="42" t="s">
        <v>87</v>
      </c>
      <c r="E6" s="42" t="s">
        <v>98</v>
      </c>
      <c r="F6" s="49"/>
      <c r="G6" s="42">
        <v>990</v>
      </c>
      <c r="H6" s="50"/>
      <c r="I6" s="42">
        <v>30</v>
      </c>
      <c r="J6" s="45">
        <v>350</v>
      </c>
      <c r="K6" s="46" t="s">
        <v>99</v>
      </c>
      <c r="L6" s="46" t="s">
        <v>100</v>
      </c>
      <c r="M6" s="42" t="s">
        <v>101</v>
      </c>
      <c r="N6" s="46" t="s">
        <v>102</v>
      </c>
      <c r="O6" s="42">
        <v>160</v>
      </c>
      <c r="P6" s="48"/>
      <c r="Q6" s="42">
        <v>50</v>
      </c>
      <c r="R6" s="42">
        <v>880</v>
      </c>
      <c r="S6" s="49"/>
      <c r="T6" s="42">
        <v>800</v>
      </c>
      <c r="U6" s="49"/>
      <c r="V6" s="49"/>
      <c r="W6" s="42" t="s">
        <v>103</v>
      </c>
      <c r="X6" s="42">
        <v>1700</v>
      </c>
      <c r="Y6" s="49"/>
      <c r="Z6" s="49"/>
      <c r="AA6" s="42">
        <v>1400</v>
      </c>
      <c r="AB6" s="42" t="s">
        <v>104</v>
      </c>
      <c r="AC6" s="50"/>
      <c r="AD6" s="50"/>
      <c r="AE6" s="50"/>
      <c r="AF6" s="50"/>
      <c r="AG6" s="42">
        <v>1000</v>
      </c>
      <c r="AH6" s="51">
        <v>990</v>
      </c>
      <c r="AI6" s="42">
        <v>55</v>
      </c>
      <c r="AJ6" s="52"/>
      <c r="AK6" s="42" t="s">
        <v>105</v>
      </c>
      <c r="AL6" s="54" t="s">
        <v>106</v>
      </c>
      <c r="AM6" s="13"/>
      <c r="AN6" s="9"/>
      <c r="AO6" s="9"/>
      <c r="AP6" s="9"/>
      <c r="AQ6" s="9"/>
      <c r="AR6" s="9"/>
      <c r="AS6" s="9"/>
      <c r="AT6" s="9"/>
      <c r="AU6" s="9"/>
      <c r="AV6" s="8"/>
    </row>
    <row r="7" spans="1:48" ht="39.6" x14ac:dyDescent="0.25">
      <c r="A7" s="42" t="s">
        <v>108</v>
      </c>
      <c r="B7" s="43">
        <v>4</v>
      </c>
      <c r="C7" s="42" t="s">
        <v>109</v>
      </c>
      <c r="D7" s="42" t="s">
        <v>110</v>
      </c>
      <c r="E7" s="42" t="s">
        <v>111</v>
      </c>
      <c r="F7" s="42">
        <v>0.25</v>
      </c>
      <c r="G7" s="49"/>
      <c r="H7" s="50"/>
      <c r="I7" s="42" t="s">
        <v>112</v>
      </c>
      <c r="J7" s="47" t="s">
        <v>92</v>
      </c>
      <c r="K7" s="55"/>
      <c r="L7" s="55"/>
      <c r="M7" s="49"/>
      <c r="N7" s="55"/>
      <c r="O7" s="47" t="s">
        <v>92</v>
      </c>
      <c r="P7" s="48"/>
      <c r="Q7" s="42">
        <v>39.200000000000003</v>
      </c>
      <c r="R7" s="42">
        <v>1600</v>
      </c>
      <c r="S7" s="49"/>
      <c r="T7" s="42">
        <v>1500</v>
      </c>
      <c r="U7" s="49"/>
      <c r="V7" s="49"/>
      <c r="W7" s="42" t="s">
        <v>113</v>
      </c>
      <c r="X7" s="42">
        <v>1600</v>
      </c>
      <c r="Y7" s="42">
        <v>2000</v>
      </c>
      <c r="Z7" s="42" t="s">
        <v>114</v>
      </c>
      <c r="AA7" s="42">
        <v>1600</v>
      </c>
      <c r="AB7" s="42" t="s">
        <v>115</v>
      </c>
      <c r="AC7" s="50"/>
      <c r="AD7" s="50"/>
      <c r="AE7" s="50"/>
      <c r="AF7" s="50"/>
      <c r="AG7" s="42">
        <v>1500</v>
      </c>
      <c r="AH7" s="51">
        <v>1000</v>
      </c>
      <c r="AI7" s="42">
        <v>90</v>
      </c>
      <c r="AJ7" s="56" t="s">
        <v>116</v>
      </c>
      <c r="AK7" s="42" t="s">
        <v>117</v>
      </c>
      <c r="AL7" s="54" t="s">
        <v>118</v>
      </c>
      <c r="AM7" s="13"/>
      <c r="AN7" s="9"/>
      <c r="AO7" s="9"/>
      <c r="AP7" s="9"/>
      <c r="AQ7" s="9"/>
      <c r="AR7" s="9"/>
      <c r="AS7" s="9"/>
      <c r="AT7" s="9"/>
      <c r="AU7" s="9"/>
      <c r="AV7" s="8"/>
    </row>
    <row r="8" spans="1:48" ht="39.6" x14ac:dyDescent="0.25">
      <c r="A8" s="42" t="s">
        <v>108</v>
      </c>
      <c r="B8" s="43">
        <v>5</v>
      </c>
      <c r="C8" s="42" t="s">
        <v>119</v>
      </c>
      <c r="D8" s="42" t="s">
        <v>110</v>
      </c>
      <c r="E8" s="42" t="s">
        <v>120</v>
      </c>
      <c r="F8" s="42">
        <v>0.25</v>
      </c>
      <c r="G8" s="49"/>
      <c r="H8" s="45">
        <v>500</v>
      </c>
      <c r="I8" s="42" t="s">
        <v>121</v>
      </c>
      <c r="J8" s="47" t="s">
        <v>92</v>
      </c>
      <c r="K8" s="55"/>
      <c r="L8" s="55"/>
      <c r="M8" s="49"/>
      <c r="N8" s="55"/>
      <c r="O8" s="47" t="s">
        <v>92</v>
      </c>
      <c r="P8" s="48"/>
      <c r="Q8" s="42">
        <v>27</v>
      </c>
      <c r="R8" s="42">
        <v>1700</v>
      </c>
      <c r="S8" s="49"/>
      <c r="T8" s="42">
        <v>1600</v>
      </c>
      <c r="U8" s="49"/>
      <c r="V8" s="49"/>
      <c r="W8" s="42" t="s">
        <v>122</v>
      </c>
      <c r="X8" s="42">
        <v>550</v>
      </c>
      <c r="Y8" s="42">
        <v>600</v>
      </c>
      <c r="Z8" s="42" t="s">
        <v>114</v>
      </c>
      <c r="AA8" s="42">
        <v>500</v>
      </c>
      <c r="AB8" s="42" t="s">
        <v>115</v>
      </c>
      <c r="AC8" s="50"/>
      <c r="AD8" s="50"/>
      <c r="AE8" s="50"/>
      <c r="AF8" s="50"/>
      <c r="AG8" s="42">
        <v>500</v>
      </c>
      <c r="AH8" s="51">
        <v>400</v>
      </c>
      <c r="AI8" s="42">
        <v>27</v>
      </c>
      <c r="AJ8" s="56" t="s">
        <v>116</v>
      </c>
      <c r="AK8" s="42" t="s">
        <v>117</v>
      </c>
      <c r="AL8" s="54" t="s">
        <v>118</v>
      </c>
      <c r="AM8" s="13"/>
      <c r="AN8" s="9"/>
      <c r="AO8" s="9"/>
      <c r="AP8" s="9"/>
      <c r="AQ8" s="9"/>
      <c r="AR8" s="9"/>
      <c r="AS8" s="9"/>
      <c r="AT8" s="9"/>
      <c r="AU8" s="9"/>
      <c r="AV8" s="8"/>
    </row>
    <row r="9" spans="1:48" ht="55.2" x14ac:dyDescent="0.25">
      <c r="A9" s="42" t="s">
        <v>123</v>
      </c>
      <c r="B9" s="43">
        <v>6</v>
      </c>
      <c r="C9" s="42" t="s">
        <v>70</v>
      </c>
      <c r="D9" s="42" t="s">
        <v>71</v>
      </c>
      <c r="E9" s="42" t="s">
        <v>124</v>
      </c>
      <c r="F9" s="49"/>
      <c r="G9" s="49"/>
      <c r="H9" s="50"/>
      <c r="I9" s="42" t="s">
        <v>125</v>
      </c>
      <c r="J9" s="47" t="s">
        <v>92</v>
      </c>
      <c r="K9" s="46" t="s">
        <v>126</v>
      </c>
      <c r="L9" s="46" t="s">
        <v>127</v>
      </c>
      <c r="M9" s="42" t="s">
        <v>128</v>
      </c>
      <c r="N9" s="46" t="s">
        <v>129</v>
      </c>
      <c r="O9" s="47">
        <v>350</v>
      </c>
      <c r="P9" s="60" t="s">
        <v>130</v>
      </c>
      <c r="Q9" s="42">
        <v>48</v>
      </c>
      <c r="R9" s="42">
        <v>1600</v>
      </c>
      <c r="S9" s="49"/>
      <c r="T9" s="42">
        <v>1400</v>
      </c>
      <c r="U9" s="42" t="s">
        <v>131</v>
      </c>
      <c r="V9" s="42">
        <v>1</v>
      </c>
      <c r="W9" s="42" t="s">
        <v>132</v>
      </c>
      <c r="X9" s="42">
        <v>1100</v>
      </c>
      <c r="Y9" s="42">
        <v>1300</v>
      </c>
      <c r="Z9" s="42" t="s">
        <v>133</v>
      </c>
      <c r="AA9" s="42">
        <v>1000</v>
      </c>
      <c r="AB9" s="42" t="s">
        <v>94</v>
      </c>
      <c r="AC9" s="47" t="s">
        <v>134</v>
      </c>
      <c r="AD9" s="50"/>
      <c r="AE9" s="50"/>
      <c r="AF9" s="50"/>
      <c r="AG9" s="42">
        <v>1000</v>
      </c>
      <c r="AH9" s="51">
        <v>800</v>
      </c>
      <c r="AI9" s="42">
        <v>65</v>
      </c>
      <c r="AJ9" s="56" t="s">
        <v>135</v>
      </c>
      <c r="AK9" s="42" t="s">
        <v>136</v>
      </c>
      <c r="AL9" s="49"/>
      <c r="AM9" s="13"/>
      <c r="AN9" s="9"/>
      <c r="AO9" s="9"/>
      <c r="AP9" s="9"/>
      <c r="AQ9" s="9"/>
      <c r="AR9" s="9"/>
      <c r="AS9" s="9"/>
      <c r="AT9" s="9"/>
      <c r="AU9" s="9"/>
      <c r="AV9" s="8"/>
    </row>
    <row r="10" spans="1:48" ht="27.6" x14ac:dyDescent="0.25">
      <c r="A10" s="42" t="s">
        <v>137</v>
      </c>
      <c r="B10" s="43">
        <v>7</v>
      </c>
      <c r="C10" s="42" t="s">
        <v>138</v>
      </c>
      <c r="D10" s="42" t="s">
        <v>139</v>
      </c>
      <c r="E10" s="42" t="s">
        <v>140</v>
      </c>
      <c r="F10" s="49"/>
      <c r="G10" s="49"/>
      <c r="H10" s="50"/>
      <c r="I10" s="42">
        <v>50</v>
      </c>
      <c r="J10" s="45">
        <v>700</v>
      </c>
      <c r="K10" s="46" t="s">
        <v>141</v>
      </c>
      <c r="L10" s="46" t="s">
        <v>142</v>
      </c>
      <c r="M10" s="42" t="s">
        <v>143</v>
      </c>
      <c r="N10" s="46" t="s">
        <v>144</v>
      </c>
      <c r="O10" s="47" t="s">
        <v>92</v>
      </c>
      <c r="P10" s="48"/>
      <c r="Q10" s="42">
        <v>52</v>
      </c>
      <c r="R10" s="42">
        <v>2800</v>
      </c>
      <c r="S10" s="49"/>
      <c r="T10" s="42">
        <v>2800</v>
      </c>
      <c r="U10" s="42">
        <v>0</v>
      </c>
      <c r="V10" s="49"/>
      <c r="W10" s="42" t="s">
        <v>145</v>
      </c>
      <c r="X10" s="42">
        <v>1500</v>
      </c>
      <c r="Y10" s="42">
        <v>1700</v>
      </c>
      <c r="Z10" s="42" t="s">
        <v>146</v>
      </c>
      <c r="AA10" s="42">
        <v>1000</v>
      </c>
      <c r="AB10" s="42" t="s">
        <v>147</v>
      </c>
      <c r="AC10" s="50"/>
      <c r="AD10" s="50"/>
      <c r="AE10" s="50"/>
      <c r="AF10" s="50"/>
      <c r="AG10" s="42">
        <v>1500</v>
      </c>
      <c r="AH10" s="51">
        <v>900</v>
      </c>
      <c r="AI10" s="42">
        <v>75</v>
      </c>
      <c r="AJ10" s="56" t="s">
        <v>148</v>
      </c>
      <c r="AK10" s="42" t="s">
        <v>149</v>
      </c>
      <c r="AL10" s="49"/>
      <c r="AM10" s="13"/>
      <c r="AN10" s="9"/>
      <c r="AO10" s="9"/>
      <c r="AP10" s="9"/>
      <c r="AQ10" s="9"/>
      <c r="AR10" s="9"/>
      <c r="AS10" s="9"/>
      <c r="AT10" s="9"/>
      <c r="AU10" s="9"/>
      <c r="AV10" s="8"/>
    </row>
    <row r="11" spans="1:48" ht="41.4" x14ac:dyDescent="0.25">
      <c r="A11" s="42" t="s">
        <v>150</v>
      </c>
      <c r="B11" s="43">
        <v>8</v>
      </c>
      <c r="C11" s="42" t="s">
        <v>86</v>
      </c>
      <c r="D11" s="42" t="s">
        <v>87</v>
      </c>
      <c r="E11" s="42" t="s">
        <v>88</v>
      </c>
      <c r="F11" s="49"/>
      <c r="G11" s="42">
        <v>1200</v>
      </c>
      <c r="H11" s="50"/>
      <c r="I11" s="42">
        <v>38</v>
      </c>
      <c r="J11" s="47" t="s">
        <v>92</v>
      </c>
      <c r="K11" s="46" t="s">
        <v>151</v>
      </c>
      <c r="L11" s="46" t="s">
        <v>152</v>
      </c>
      <c r="M11" s="42" t="s">
        <v>153</v>
      </c>
      <c r="N11" s="46" t="s">
        <v>154</v>
      </c>
      <c r="O11" s="47" t="s">
        <v>155</v>
      </c>
      <c r="P11" s="48"/>
      <c r="Q11" s="42">
        <v>35</v>
      </c>
      <c r="R11" s="42">
        <v>1600</v>
      </c>
      <c r="S11" s="49"/>
      <c r="T11" s="42">
        <v>1300</v>
      </c>
      <c r="U11" s="42">
        <v>0</v>
      </c>
      <c r="V11" s="49"/>
      <c r="W11" s="42" t="s">
        <v>156</v>
      </c>
      <c r="X11" s="42">
        <v>950</v>
      </c>
      <c r="Y11" s="42">
        <v>1000</v>
      </c>
      <c r="Z11" s="42" t="s">
        <v>157</v>
      </c>
      <c r="AA11" s="42">
        <v>900</v>
      </c>
      <c r="AB11" s="42" t="s">
        <v>158</v>
      </c>
      <c r="AC11" s="50"/>
      <c r="AD11" s="50"/>
      <c r="AE11" s="50"/>
      <c r="AF11" s="50"/>
      <c r="AG11" s="42">
        <v>900</v>
      </c>
      <c r="AH11" s="51">
        <v>750</v>
      </c>
      <c r="AI11" s="42">
        <v>22</v>
      </c>
      <c r="AJ11" s="56" t="s">
        <v>159</v>
      </c>
      <c r="AK11" s="42" t="s">
        <v>160</v>
      </c>
      <c r="AL11" s="49"/>
      <c r="AM11" s="13"/>
      <c r="AN11" s="9"/>
      <c r="AO11" s="9"/>
      <c r="AP11" s="9"/>
      <c r="AQ11" s="9"/>
      <c r="AR11" s="9"/>
      <c r="AS11" s="9"/>
      <c r="AT11" s="9"/>
      <c r="AU11" s="9"/>
      <c r="AV11" s="8"/>
    </row>
    <row r="12" spans="1:48" ht="55.2" x14ac:dyDescent="0.25">
      <c r="A12" s="42" t="s">
        <v>161</v>
      </c>
      <c r="B12" s="43">
        <v>9</v>
      </c>
      <c r="C12" s="42" t="s">
        <v>162</v>
      </c>
      <c r="D12" s="42" t="s">
        <v>163</v>
      </c>
      <c r="E12" s="42" t="s">
        <v>164</v>
      </c>
      <c r="F12" s="49"/>
      <c r="G12" s="42">
        <v>2500</v>
      </c>
      <c r="H12" s="45">
        <v>6200</v>
      </c>
      <c r="I12" s="42">
        <v>50</v>
      </c>
      <c r="J12" s="45">
        <v>530</v>
      </c>
      <c r="K12" s="46" t="s">
        <v>165</v>
      </c>
      <c r="L12" s="46" t="s">
        <v>166</v>
      </c>
      <c r="M12" s="42" t="s">
        <v>167</v>
      </c>
      <c r="N12" s="46" t="s">
        <v>168</v>
      </c>
      <c r="O12" s="47" t="s">
        <v>92</v>
      </c>
      <c r="P12" s="48"/>
      <c r="Q12" s="42">
        <v>52</v>
      </c>
      <c r="R12" s="42">
        <v>1450</v>
      </c>
      <c r="S12" s="49"/>
      <c r="T12" s="42">
        <v>1300</v>
      </c>
      <c r="U12" s="42">
        <v>0</v>
      </c>
      <c r="V12" s="42">
        <v>1</v>
      </c>
      <c r="W12" s="42" t="s">
        <v>169</v>
      </c>
      <c r="X12" s="42">
        <v>1600</v>
      </c>
      <c r="Y12" s="42">
        <v>1750</v>
      </c>
      <c r="Z12" s="42" t="s">
        <v>170</v>
      </c>
      <c r="AA12" s="42">
        <v>1450</v>
      </c>
      <c r="AB12" s="42" t="s">
        <v>171</v>
      </c>
      <c r="AC12" s="45" t="s">
        <v>172</v>
      </c>
      <c r="AD12" s="50"/>
      <c r="AE12" s="50"/>
      <c r="AF12" s="50"/>
      <c r="AG12" s="42">
        <v>1500</v>
      </c>
      <c r="AH12" s="51">
        <v>1400</v>
      </c>
      <c r="AI12" s="42">
        <v>132</v>
      </c>
      <c r="AJ12" s="56" t="s">
        <v>173</v>
      </c>
      <c r="AK12" s="42" t="s">
        <v>174</v>
      </c>
      <c r="AL12" s="49"/>
      <c r="AM12" s="13"/>
      <c r="AN12" s="9"/>
      <c r="AO12" s="9"/>
      <c r="AP12" s="9"/>
      <c r="AQ12" s="9"/>
      <c r="AR12" s="9"/>
      <c r="AS12" s="9"/>
      <c r="AT12" s="9"/>
      <c r="AU12" s="9"/>
      <c r="AV12" s="8"/>
    </row>
    <row r="13" spans="1:48" ht="52.8" x14ac:dyDescent="0.25">
      <c r="A13" s="42" t="s">
        <v>175</v>
      </c>
      <c r="B13" s="43">
        <v>10</v>
      </c>
      <c r="C13" s="42" t="s">
        <v>86</v>
      </c>
      <c r="D13" s="42" t="s">
        <v>110</v>
      </c>
      <c r="E13" s="42" t="s">
        <v>176</v>
      </c>
      <c r="F13" s="42">
        <v>0.25</v>
      </c>
      <c r="G13" s="42">
        <v>1000</v>
      </c>
      <c r="H13" s="50"/>
      <c r="I13" s="42">
        <v>50</v>
      </c>
      <c r="J13" s="45">
        <v>530</v>
      </c>
      <c r="K13" s="46" t="s">
        <v>177</v>
      </c>
      <c r="L13" s="46" t="s">
        <v>178</v>
      </c>
      <c r="M13" s="42" t="s">
        <v>179</v>
      </c>
      <c r="N13" s="46" t="s">
        <v>180</v>
      </c>
      <c r="O13" s="47">
        <v>170</v>
      </c>
      <c r="P13" s="42">
        <v>1485</v>
      </c>
      <c r="Q13" s="42">
        <v>48</v>
      </c>
      <c r="R13" s="42">
        <v>1700</v>
      </c>
      <c r="S13" s="49"/>
      <c r="T13" s="42">
        <v>1600</v>
      </c>
      <c r="U13" s="42">
        <v>0</v>
      </c>
      <c r="V13" s="42" t="s">
        <v>181</v>
      </c>
      <c r="W13" s="42" t="s">
        <v>182</v>
      </c>
      <c r="X13" s="42">
        <v>1850</v>
      </c>
      <c r="Y13" s="42">
        <v>2000</v>
      </c>
      <c r="Z13" s="42" t="s">
        <v>181</v>
      </c>
      <c r="AA13" s="42">
        <v>1650</v>
      </c>
      <c r="AB13" s="42" t="s">
        <v>181</v>
      </c>
      <c r="AC13" s="47" t="s">
        <v>181</v>
      </c>
      <c r="AD13" s="50"/>
      <c r="AE13" s="50"/>
      <c r="AF13" s="50"/>
      <c r="AG13" s="42" t="s">
        <v>181</v>
      </c>
      <c r="AH13" s="51">
        <v>900</v>
      </c>
      <c r="AI13" s="42">
        <v>75</v>
      </c>
      <c r="AJ13" s="56" t="s">
        <v>183</v>
      </c>
      <c r="AK13" s="42" t="s">
        <v>184</v>
      </c>
      <c r="AL13" s="42" t="s">
        <v>185</v>
      </c>
      <c r="AM13" s="13"/>
      <c r="AN13" s="9"/>
      <c r="AO13" s="9"/>
      <c r="AP13" s="9"/>
      <c r="AQ13" s="9"/>
      <c r="AR13" s="9"/>
      <c r="AS13" s="9"/>
      <c r="AT13" s="9"/>
      <c r="AU13" s="9"/>
      <c r="AV13" s="8"/>
    </row>
    <row r="14" spans="1:48" ht="27.6" x14ac:dyDescent="0.25">
      <c r="A14" s="42" t="s">
        <v>186</v>
      </c>
      <c r="B14" s="43">
        <v>11</v>
      </c>
      <c r="C14" s="42" t="s">
        <v>86</v>
      </c>
      <c r="D14" s="42" t="s">
        <v>87</v>
      </c>
      <c r="E14" s="42" t="s">
        <v>187</v>
      </c>
      <c r="F14" s="49"/>
      <c r="G14" s="42">
        <v>1200</v>
      </c>
      <c r="H14" s="50"/>
      <c r="I14" s="42" t="s">
        <v>187</v>
      </c>
      <c r="J14" s="47" t="s">
        <v>92</v>
      </c>
      <c r="K14" s="46" t="s">
        <v>188</v>
      </c>
      <c r="L14" s="46" t="s">
        <v>142</v>
      </c>
      <c r="M14" s="49"/>
      <c r="N14" s="46" t="s">
        <v>189</v>
      </c>
      <c r="O14" s="42">
        <v>400</v>
      </c>
      <c r="P14" s="48"/>
      <c r="Q14" s="42">
        <v>32</v>
      </c>
      <c r="R14" s="42">
        <v>1400</v>
      </c>
      <c r="S14" s="49"/>
      <c r="T14" s="42">
        <v>1300</v>
      </c>
      <c r="U14" s="42">
        <v>0</v>
      </c>
      <c r="V14" s="49"/>
      <c r="W14" s="49"/>
      <c r="X14" s="42">
        <v>930</v>
      </c>
      <c r="Y14" s="42">
        <v>1030</v>
      </c>
      <c r="Z14" s="42" t="s">
        <v>190</v>
      </c>
      <c r="AA14" s="42">
        <v>900</v>
      </c>
      <c r="AB14" s="42" t="s">
        <v>191</v>
      </c>
      <c r="AC14" s="50"/>
      <c r="AD14" s="50"/>
      <c r="AE14" s="50"/>
      <c r="AF14" s="50"/>
      <c r="AG14" s="42">
        <v>800</v>
      </c>
      <c r="AH14" s="51">
        <v>600</v>
      </c>
      <c r="AI14" s="42">
        <v>30</v>
      </c>
      <c r="AJ14" s="56" t="s">
        <v>192</v>
      </c>
      <c r="AK14" s="42" t="s">
        <v>193</v>
      </c>
      <c r="AL14" s="49"/>
      <c r="AM14" s="13"/>
      <c r="AN14" s="9"/>
      <c r="AO14" s="9"/>
      <c r="AP14" s="9"/>
      <c r="AQ14" s="9"/>
      <c r="AR14" s="9"/>
      <c r="AS14" s="9"/>
      <c r="AT14" s="9"/>
      <c r="AU14" s="9"/>
      <c r="AV14" s="8"/>
    </row>
    <row r="15" spans="1:48" ht="13.8" x14ac:dyDescent="0.25">
      <c r="A15" s="42" t="s">
        <v>194</v>
      </c>
      <c r="B15" s="43">
        <v>12</v>
      </c>
      <c r="C15" s="42" t="s">
        <v>195</v>
      </c>
      <c r="D15" s="42" t="s">
        <v>163</v>
      </c>
      <c r="E15" s="42" t="s">
        <v>196</v>
      </c>
      <c r="F15" s="42">
        <v>0.3</v>
      </c>
      <c r="G15" s="42">
        <v>2000</v>
      </c>
      <c r="H15" s="50"/>
      <c r="I15" s="42">
        <v>60</v>
      </c>
      <c r="J15" s="47" t="s">
        <v>92</v>
      </c>
      <c r="K15" s="55"/>
      <c r="L15" s="55"/>
      <c r="M15" s="49"/>
      <c r="N15" s="55"/>
      <c r="O15" s="47" t="s">
        <v>92</v>
      </c>
      <c r="P15" s="48"/>
      <c r="Q15" s="42">
        <v>36</v>
      </c>
      <c r="R15" s="42">
        <v>1500</v>
      </c>
      <c r="S15" s="49"/>
      <c r="T15" s="42">
        <v>1450</v>
      </c>
      <c r="U15" s="42" t="s">
        <v>197</v>
      </c>
      <c r="V15" s="49"/>
      <c r="W15" s="42" t="s">
        <v>198</v>
      </c>
      <c r="X15" s="42">
        <v>800</v>
      </c>
      <c r="Y15" s="42">
        <v>850</v>
      </c>
      <c r="Z15" s="42" t="s">
        <v>199</v>
      </c>
      <c r="AA15" s="42">
        <v>800</v>
      </c>
      <c r="AB15" s="42" t="s">
        <v>200</v>
      </c>
      <c r="AC15" s="50"/>
      <c r="AD15" s="50"/>
      <c r="AE15" s="50"/>
      <c r="AF15" s="50"/>
      <c r="AG15" s="42" t="s">
        <v>201</v>
      </c>
      <c r="AH15" s="51">
        <v>800</v>
      </c>
      <c r="AI15" s="42">
        <v>50</v>
      </c>
      <c r="AJ15" s="56" t="s">
        <v>202</v>
      </c>
      <c r="AK15" s="42" t="s">
        <v>203</v>
      </c>
      <c r="AL15" s="49"/>
      <c r="AM15" s="13"/>
      <c r="AN15" s="9"/>
      <c r="AO15" s="9"/>
      <c r="AP15" s="9"/>
      <c r="AQ15" s="9"/>
      <c r="AR15" s="9"/>
      <c r="AS15" s="9"/>
      <c r="AT15" s="9"/>
      <c r="AU15" s="9"/>
      <c r="AV15" s="8"/>
    </row>
    <row r="16" spans="1:48" ht="13.8" x14ac:dyDescent="0.25">
      <c r="A16" s="42" t="s">
        <v>204</v>
      </c>
      <c r="B16" s="43">
        <v>13</v>
      </c>
      <c r="C16" s="42" t="s">
        <v>86</v>
      </c>
      <c r="D16" s="42" t="s">
        <v>110</v>
      </c>
      <c r="E16" s="42" t="s">
        <v>205</v>
      </c>
      <c r="F16" s="49"/>
      <c r="G16" s="49"/>
      <c r="H16" s="50"/>
      <c r="I16" s="42">
        <v>20</v>
      </c>
      <c r="J16" s="47" t="s">
        <v>92</v>
      </c>
      <c r="K16" s="55"/>
      <c r="L16" s="55"/>
      <c r="M16" s="49"/>
      <c r="N16" s="55"/>
      <c r="O16" s="47" t="s">
        <v>92</v>
      </c>
      <c r="P16" s="48"/>
      <c r="Q16" s="42">
        <v>50</v>
      </c>
      <c r="R16" s="42">
        <v>1700</v>
      </c>
      <c r="S16" s="49"/>
      <c r="T16" s="42">
        <v>1500</v>
      </c>
      <c r="U16" s="49"/>
      <c r="V16" s="49"/>
      <c r="W16" s="49"/>
      <c r="X16" s="42">
        <v>1200</v>
      </c>
      <c r="Y16" s="42">
        <v>1300</v>
      </c>
      <c r="Z16" s="42" t="s">
        <v>206</v>
      </c>
      <c r="AA16" s="42">
        <v>900</v>
      </c>
      <c r="AB16" s="42" t="s">
        <v>207</v>
      </c>
      <c r="AC16" s="50"/>
      <c r="AD16" s="50"/>
      <c r="AE16" s="50"/>
      <c r="AF16" s="50"/>
      <c r="AG16" s="42">
        <v>800</v>
      </c>
      <c r="AH16" s="51">
        <v>650</v>
      </c>
      <c r="AI16" s="42">
        <v>50</v>
      </c>
      <c r="AJ16" s="56" t="s">
        <v>208</v>
      </c>
      <c r="AK16" s="42" t="s">
        <v>209</v>
      </c>
      <c r="AL16" s="49"/>
      <c r="AM16" s="13"/>
      <c r="AN16" s="9"/>
      <c r="AO16" s="9"/>
      <c r="AP16" s="9"/>
      <c r="AQ16" s="9"/>
      <c r="AR16" s="9"/>
      <c r="AS16" s="9"/>
      <c r="AT16" s="9"/>
      <c r="AU16" s="9"/>
      <c r="AV16" s="8"/>
    </row>
    <row r="17" spans="1:48" ht="41.4" x14ac:dyDescent="0.25">
      <c r="A17" s="42" t="s">
        <v>210</v>
      </c>
      <c r="B17" s="43">
        <v>14</v>
      </c>
      <c r="C17" s="42" t="s">
        <v>211</v>
      </c>
      <c r="D17" s="42" t="s">
        <v>163</v>
      </c>
      <c r="E17" s="42" t="s">
        <v>212</v>
      </c>
      <c r="F17" s="42">
        <v>0.3</v>
      </c>
      <c r="G17" s="42">
        <v>2550</v>
      </c>
      <c r="H17" s="45">
        <v>8650</v>
      </c>
      <c r="I17" s="42">
        <v>85</v>
      </c>
      <c r="J17" s="45">
        <v>400</v>
      </c>
      <c r="K17" s="46" t="s">
        <v>213</v>
      </c>
      <c r="L17" s="46" t="s">
        <v>214</v>
      </c>
      <c r="M17" s="42" t="s">
        <v>215</v>
      </c>
      <c r="N17" s="46" t="s">
        <v>216</v>
      </c>
      <c r="O17" s="42">
        <v>300</v>
      </c>
      <c r="P17" s="62">
        <v>980</v>
      </c>
      <c r="Q17" s="42">
        <v>50</v>
      </c>
      <c r="R17" s="42">
        <v>2220</v>
      </c>
      <c r="S17" s="49"/>
      <c r="T17" s="42">
        <v>1920</v>
      </c>
      <c r="U17" s="42">
        <v>1</v>
      </c>
      <c r="V17" s="42">
        <v>1</v>
      </c>
      <c r="W17" s="42" t="s">
        <v>217</v>
      </c>
      <c r="X17" s="42">
        <v>1340</v>
      </c>
      <c r="Y17" s="42">
        <v>1450</v>
      </c>
      <c r="Z17" s="42" t="s">
        <v>218</v>
      </c>
      <c r="AA17" s="42">
        <v>1150</v>
      </c>
      <c r="AB17" s="42" t="s">
        <v>219</v>
      </c>
      <c r="AC17" s="50"/>
      <c r="AD17" s="50"/>
      <c r="AE17" s="50"/>
      <c r="AF17" s="50"/>
      <c r="AG17" s="42" t="s">
        <v>220</v>
      </c>
      <c r="AH17" s="51">
        <v>1000</v>
      </c>
      <c r="AI17" s="42">
        <v>82</v>
      </c>
      <c r="AJ17" s="56" t="s">
        <v>221</v>
      </c>
      <c r="AK17" s="42" t="s">
        <v>222</v>
      </c>
      <c r="AL17" s="42" t="s">
        <v>223</v>
      </c>
      <c r="AM17" s="13"/>
      <c r="AN17" s="9"/>
      <c r="AO17" s="9"/>
      <c r="AP17" s="9"/>
      <c r="AQ17" s="9"/>
      <c r="AR17" s="9"/>
      <c r="AS17" s="9"/>
      <c r="AT17" s="9"/>
      <c r="AU17" s="9"/>
      <c r="AV17" s="8"/>
    </row>
    <row r="18" spans="1:48" ht="52.8" x14ac:dyDescent="0.25">
      <c r="A18" s="42" t="s">
        <v>224</v>
      </c>
      <c r="B18" s="43">
        <v>15</v>
      </c>
      <c r="C18" s="42" t="s">
        <v>86</v>
      </c>
      <c r="D18" s="42" t="s">
        <v>87</v>
      </c>
      <c r="E18" s="42" t="s">
        <v>225</v>
      </c>
      <c r="F18" s="42">
        <v>0.2</v>
      </c>
      <c r="G18" s="42">
        <v>1200</v>
      </c>
      <c r="H18" s="50"/>
      <c r="I18" s="42">
        <v>50</v>
      </c>
      <c r="J18" s="47">
        <v>380</v>
      </c>
      <c r="K18" s="55"/>
      <c r="L18" s="55"/>
      <c r="M18" s="42" t="s">
        <v>215</v>
      </c>
      <c r="N18" s="55"/>
      <c r="O18" s="47" t="s">
        <v>92</v>
      </c>
      <c r="P18" s="48"/>
      <c r="Q18" s="42">
        <v>35</v>
      </c>
      <c r="R18" s="42">
        <v>11</v>
      </c>
      <c r="S18" s="49"/>
      <c r="T18" s="42">
        <v>1450</v>
      </c>
      <c r="U18" s="49"/>
      <c r="V18" s="49"/>
      <c r="W18" s="42" t="s">
        <v>226</v>
      </c>
      <c r="X18" s="42">
        <v>1000</v>
      </c>
      <c r="Y18" s="42">
        <v>1150</v>
      </c>
      <c r="Z18" s="42" t="s">
        <v>114</v>
      </c>
      <c r="AA18" s="42">
        <v>1000</v>
      </c>
      <c r="AB18" s="42" t="s">
        <v>227</v>
      </c>
      <c r="AC18" s="50"/>
      <c r="AD18" s="50"/>
      <c r="AE18" s="50"/>
      <c r="AF18" s="50"/>
      <c r="AG18" s="42">
        <v>1000</v>
      </c>
      <c r="AH18" s="51">
        <v>800</v>
      </c>
      <c r="AI18" s="42">
        <v>50</v>
      </c>
      <c r="AJ18" s="56" t="s">
        <v>228</v>
      </c>
      <c r="AK18" s="42" t="s">
        <v>229</v>
      </c>
      <c r="AL18" s="49"/>
      <c r="AM18" s="13"/>
      <c r="AN18" s="9"/>
      <c r="AO18" s="9"/>
      <c r="AP18" s="9"/>
      <c r="AQ18" s="9"/>
      <c r="AR18" s="9"/>
      <c r="AS18" s="9"/>
      <c r="AT18" s="9"/>
      <c r="AU18" s="9"/>
      <c r="AV18" s="8"/>
    </row>
    <row r="19" spans="1:48" ht="52.8" x14ac:dyDescent="0.25">
      <c r="A19" s="42" t="s">
        <v>230</v>
      </c>
      <c r="B19" s="43">
        <v>16</v>
      </c>
      <c r="C19" s="42" t="s">
        <v>231</v>
      </c>
      <c r="D19" s="42" t="s">
        <v>232</v>
      </c>
      <c r="E19" s="42" t="s">
        <v>233</v>
      </c>
      <c r="F19" s="42">
        <v>0.4</v>
      </c>
      <c r="G19" s="42">
        <v>3000</v>
      </c>
      <c r="H19" s="45">
        <v>3900</v>
      </c>
      <c r="I19" s="42">
        <v>30</v>
      </c>
      <c r="J19" s="45">
        <v>230</v>
      </c>
      <c r="K19" s="46" t="s">
        <v>234</v>
      </c>
      <c r="L19" s="46" t="s">
        <v>235</v>
      </c>
      <c r="M19" s="42" t="s">
        <v>236</v>
      </c>
      <c r="N19" s="46" t="s">
        <v>237</v>
      </c>
      <c r="O19" s="47" t="s">
        <v>92</v>
      </c>
      <c r="P19" s="62">
        <v>580</v>
      </c>
      <c r="Q19" s="42">
        <v>35</v>
      </c>
      <c r="R19" s="42">
        <v>1450</v>
      </c>
      <c r="S19" s="49"/>
      <c r="T19" s="42">
        <v>1350</v>
      </c>
      <c r="U19" s="42" t="s">
        <v>238</v>
      </c>
      <c r="V19" s="42">
        <v>1</v>
      </c>
      <c r="W19" s="42" t="s">
        <v>239</v>
      </c>
      <c r="X19" s="42" t="s">
        <v>92</v>
      </c>
      <c r="Y19" s="42">
        <v>450</v>
      </c>
      <c r="Z19" s="49"/>
      <c r="AA19" s="42">
        <v>350</v>
      </c>
      <c r="AB19" s="42" t="s">
        <v>240</v>
      </c>
      <c r="AC19" s="50"/>
      <c r="AD19" s="50"/>
      <c r="AE19" s="50"/>
      <c r="AF19" s="50"/>
      <c r="AG19" s="42">
        <v>330</v>
      </c>
      <c r="AH19" s="51">
        <v>300</v>
      </c>
      <c r="AI19" s="42">
        <v>85</v>
      </c>
      <c r="AJ19" s="56" t="s">
        <v>241</v>
      </c>
      <c r="AK19" s="42" t="s">
        <v>242</v>
      </c>
      <c r="AL19" s="49"/>
      <c r="AM19" s="13"/>
      <c r="AN19" s="9"/>
      <c r="AO19" s="9"/>
      <c r="AP19" s="9"/>
      <c r="AQ19" s="9"/>
      <c r="AR19" s="9"/>
      <c r="AS19" s="9"/>
      <c r="AT19" s="9"/>
      <c r="AU19" s="9"/>
      <c r="AV19" s="8"/>
    </row>
    <row r="20" spans="1:48" ht="26.4" x14ac:dyDescent="0.25">
      <c r="A20" s="42" t="s">
        <v>230</v>
      </c>
      <c r="B20" s="43">
        <v>17</v>
      </c>
      <c r="C20" s="42" t="s">
        <v>86</v>
      </c>
      <c r="D20" s="42" t="s">
        <v>243</v>
      </c>
      <c r="E20" s="42" t="s">
        <v>244</v>
      </c>
      <c r="F20" s="42">
        <v>0.25</v>
      </c>
      <c r="G20" s="42">
        <v>1100</v>
      </c>
      <c r="H20" s="45">
        <v>3130</v>
      </c>
      <c r="I20" s="42">
        <v>55</v>
      </c>
      <c r="J20" s="47" t="s">
        <v>92</v>
      </c>
      <c r="K20" s="46" t="s">
        <v>245</v>
      </c>
      <c r="L20" s="46" t="s">
        <v>245</v>
      </c>
      <c r="M20" s="42" t="s">
        <v>245</v>
      </c>
      <c r="N20" s="46" t="s">
        <v>246</v>
      </c>
      <c r="O20" s="47" t="s">
        <v>92</v>
      </c>
      <c r="P20" s="62">
        <v>750</v>
      </c>
      <c r="Q20" s="42">
        <v>50</v>
      </c>
      <c r="R20" s="42">
        <v>1500</v>
      </c>
      <c r="S20" s="49"/>
      <c r="T20" s="42">
        <v>1450</v>
      </c>
      <c r="U20" s="42" t="s">
        <v>238</v>
      </c>
      <c r="V20" s="42" t="s">
        <v>247</v>
      </c>
      <c r="W20" s="42" t="s">
        <v>245</v>
      </c>
      <c r="X20" s="42" t="s">
        <v>92</v>
      </c>
      <c r="Y20" s="42">
        <v>2000</v>
      </c>
      <c r="Z20" s="42" t="s">
        <v>248</v>
      </c>
      <c r="AA20" s="42">
        <v>1350</v>
      </c>
      <c r="AB20" s="42" t="s">
        <v>249</v>
      </c>
      <c r="AC20" s="50"/>
      <c r="AD20" s="50"/>
      <c r="AE20" s="50"/>
      <c r="AF20" s="50"/>
      <c r="AG20" s="42" t="s">
        <v>250</v>
      </c>
      <c r="AH20" s="51">
        <v>1100</v>
      </c>
      <c r="AI20" s="42">
        <v>85</v>
      </c>
      <c r="AJ20" s="56" t="s">
        <v>245</v>
      </c>
      <c r="AK20" s="42" t="s">
        <v>251</v>
      </c>
      <c r="AL20" s="49"/>
      <c r="AM20" s="13"/>
      <c r="AN20" s="9"/>
      <c r="AO20" s="9"/>
      <c r="AP20" s="9"/>
      <c r="AQ20" s="9"/>
      <c r="AR20" s="9"/>
      <c r="AS20" s="9"/>
      <c r="AT20" s="9"/>
      <c r="AU20" s="9"/>
      <c r="AV20" s="8"/>
    </row>
    <row r="21" spans="1:48" ht="13.8" x14ac:dyDescent="0.25">
      <c r="A21" s="42" t="s">
        <v>252</v>
      </c>
      <c r="B21" s="43">
        <v>18</v>
      </c>
      <c r="C21" s="42" t="s">
        <v>253</v>
      </c>
      <c r="D21" s="42" t="s">
        <v>87</v>
      </c>
      <c r="E21" s="42" t="s">
        <v>187</v>
      </c>
      <c r="F21" s="49"/>
      <c r="G21" s="42">
        <v>1200</v>
      </c>
      <c r="H21" s="50"/>
      <c r="I21" s="42">
        <v>30</v>
      </c>
      <c r="J21" s="47" t="s">
        <v>92</v>
      </c>
      <c r="K21" s="55"/>
      <c r="L21" s="55"/>
      <c r="M21" s="42" t="s">
        <v>254</v>
      </c>
      <c r="N21" s="55"/>
      <c r="O21" s="47" t="s">
        <v>92</v>
      </c>
      <c r="P21" s="48"/>
      <c r="Q21" s="42">
        <v>37</v>
      </c>
      <c r="R21" s="42">
        <v>1500</v>
      </c>
      <c r="S21" s="49"/>
      <c r="T21" s="42">
        <v>1450</v>
      </c>
      <c r="U21" s="42" t="s">
        <v>92</v>
      </c>
      <c r="V21" s="49"/>
      <c r="W21" s="42" t="s">
        <v>255</v>
      </c>
      <c r="X21" s="42" t="s">
        <v>92</v>
      </c>
      <c r="Y21" s="42">
        <v>1300</v>
      </c>
      <c r="Z21" s="42" t="s">
        <v>256</v>
      </c>
      <c r="AA21" s="42">
        <v>1100</v>
      </c>
      <c r="AB21" s="42" t="s">
        <v>257</v>
      </c>
      <c r="AC21" s="50"/>
      <c r="AD21" s="50"/>
      <c r="AE21" s="50"/>
      <c r="AF21" s="50"/>
      <c r="AG21" s="42">
        <v>1100</v>
      </c>
      <c r="AH21" s="51">
        <v>900</v>
      </c>
      <c r="AI21" s="42">
        <v>75</v>
      </c>
      <c r="AJ21" s="56" t="s">
        <v>258</v>
      </c>
      <c r="AK21" s="42" t="s">
        <v>259</v>
      </c>
      <c r="AL21" s="49"/>
      <c r="AM21" s="13"/>
      <c r="AN21" s="9"/>
      <c r="AO21" s="9"/>
      <c r="AP21" s="9"/>
      <c r="AQ21" s="9"/>
      <c r="AR21" s="9"/>
      <c r="AS21" s="9"/>
      <c r="AT21" s="9"/>
      <c r="AU21" s="9"/>
      <c r="AV21" s="8"/>
    </row>
    <row r="22" spans="1:48" ht="39.6" x14ac:dyDescent="0.25">
      <c r="A22" s="42" t="s">
        <v>260</v>
      </c>
      <c r="B22" s="43">
        <v>20</v>
      </c>
      <c r="C22" s="49"/>
      <c r="D22" s="42" t="s">
        <v>261</v>
      </c>
      <c r="E22" s="42" t="s">
        <v>262</v>
      </c>
      <c r="F22" s="49"/>
      <c r="G22" s="49"/>
      <c r="H22" s="50"/>
      <c r="I22" s="42">
        <v>17</v>
      </c>
      <c r="J22" s="47" t="s">
        <v>92</v>
      </c>
      <c r="K22" s="55"/>
      <c r="L22" s="55"/>
      <c r="M22" s="42" t="s">
        <v>263</v>
      </c>
      <c r="N22" s="55"/>
      <c r="O22" s="47" t="s">
        <v>92</v>
      </c>
      <c r="P22" s="48"/>
      <c r="Q22" s="42">
        <v>35</v>
      </c>
      <c r="R22" s="42">
        <v>1080</v>
      </c>
      <c r="S22" s="49"/>
      <c r="T22" s="42">
        <v>1000</v>
      </c>
      <c r="U22" s="49"/>
      <c r="V22" s="49"/>
      <c r="W22" s="42" t="s">
        <v>264</v>
      </c>
      <c r="X22" s="42">
        <v>1000</v>
      </c>
      <c r="Y22" s="42">
        <v>1400</v>
      </c>
      <c r="Z22" s="49"/>
      <c r="AA22" s="42">
        <v>1000</v>
      </c>
      <c r="AB22" s="49"/>
      <c r="AC22" s="50"/>
      <c r="AD22" s="50"/>
      <c r="AE22" s="50"/>
      <c r="AF22" s="50"/>
      <c r="AG22" s="42">
        <v>750</v>
      </c>
      <c r="AH22" s="51">
        <v>600</v>
      </c>
      <c r="AI22" s="42">
        <v>50</v>
      </c>
      <c r="AJ22" s="56" t="s">
        <v>265</v>
      </c>
      <c r="AK22" s="42" t="s">
        <v>266</v>
      </c>
      <c r="AL22" s="49"/>
      <c r="AM22" s="13"/>
      <c r="AN22" s="9"/>
      <c r="AO22" s="9"/>
      <c r="AP22" s="9"/>
      <c r="AQ22" s="9"/>
      <c r="AR22" s="9"/>
      <c r="AS22" s="9"/>
      <c r="AT22" s="9"/>
      <c r="AU22" s="9"/>
      <c r="AV22" s="8"/>
    </row>
    <row r="23" spans="1:48" ht="41.4" x14ac:dyDescent="0.25">
      <c r="A23" s="42" t="s">
        <v>267</v>
      </c>
      <c r="B23" s="43">
        <v>21</v>
      </c>
      <c r="C23" s="42" t="s">
        <v>268</v>
      </c>
      <c r="D23" s="42" t="s">
        <v>269</v>
      </c>
      <c r="E23" s="42" t="s">
        <v>270</v>
      </c>
      <c r="F23" s="42">
        <v>0.4</v>
      </c>
      <c r="G23" s="45">
        <v>1000</v>
      </c>
      <c r="H23" s="50"/>
      <c r="I23" s="42" t="s">
        <v>271</v>
      </c>
      <c r="J23" s="47" t="s">
        <v>92</v>
      </c>
      <c r="K23" s="46" t="s">
        <v>272</v>
      </c>
      <c r="L23" s="46" t="s">
        <v>273</v>
      </c>
      <c r="M23" s="42" t="s">
        <v>274</v>
      </c>
      <c r="N23" s="55"/>
      <c r="O23" s="47" t="s">
        <v>92</v>
      </c>
      <c r="P23" s="62">
        <v>500</v>
      </c>
      <c r="Q23" s="42">
        <v>34</v>
      </c>
      <c r="R23" s="42">
        <v>1500</v>
      </c>
      <c r="S23" s="49"/>
      <c r="T23" s="42">
        <v>1500</v>
      </c>
      <c r="U23" s="42" t="s">
        <v>131</v>
      </c>
      <c r="V23" s="42" t="s">
        <v>181</v>
      </c>
      <c r="W23" s="42" t="s">
        <v>275</v>
      </c>
      <c r="X23" s="42">
        <v>500</v>
      </c>
      <c r="Y23" s="42">
        <v>550</v>
      </c>
      <c r="Z23" s="42" t="s">
        <v>181</v>
      </c>
      <c r="AA23" s="42">
        <v>450</v>
      </c>
      <c r="AB23" s="42" t="s">
        <v>181</v>
      </c>
      <c r="AC23" s="47" t="s">
        <v>181</v>
      </c>
      <c r="AD23" s="50"/>
      <c r="AE23" s="50"/>
      <c r="AF23" s="50"/>
      <c r="AG23" s="42" t="s">
        <v>181</v>
      </c>
      <c r="AH23" s="51">
        <v>200</v>
      </c>
      <c r="AI23" s="42">
        <v>22</v>
      </c>
      <c r="AJ23" s="56" t="s">
        <v>276</v>
      </c>
      <c r="AK23" s="42" t="s">
        <v>277</v>
      </c>
      <c r="AL23" s="42" t="s">
        <v>181</v>
      </c>
      <c r="AM23" s="13"/>
      <c r="AN23" s="9"/>
      <c r="AO23" s="9"/>
      <c r="AP23" s="9"/>
      <c r="AQ23" s="9"/>
      <c r="AR23" s="9"/>
      <c r="AS23" s="9"/>
      <c r="AT23" s="9"/>
      <c r="AU23" s="9"/>
      <c r="AV23" s="8"/>
    </row>
    <row r="24" spans="1:48" ht="13.8" x14ac:dyDescent="0.25">
      <c r="A24" s="42" t="s">
        <v>252</v>
      </c>
      <c r="B24" s="43">
        <v>19</v>
      </c>
      <c r="C24" s="42" t="s">
        <v>253</v>
      </c>
      <c r="D24" s="42" t="s">
        <v>87</v>
      </c>
      <c r="E24" s="42" t="s">
        <v>278</v>
      </c>
      <c r="F24" s="49"/>
      <c r="G24" s="42">
        <v>900</v>
      </c>
      <c r="H24" s="50"/>
      <c r="I24" s="42">
        <v>30</v>
      </c>
      <c r="J24" s="47" t="s">
        <v>92</v>
      </c>
      <c r="K24" s="55"/>
      <c r="L24" s="55"/>
      <c r="M24" s="42" t="s">
        <v>254</v>
      </c>
      <c r="N24" s="55"/>
      <c r="O24" s="47" t="s">
        <v>92</v>
      </c>
      <c r="P24" s="48"/>
      <c r="Q24" s="42">
        <v>35</v>
      </c>
      <c r="R24" s="42">
        <v>1500</v>
      </c>
      <c r="S24" s="49"/>
      <c r="T24" s="42">
        <v>1450</v>
      </c>
      <c r="U24" s="42" t="s">
        <v>92</v>
      </c>
      <c r="V24" s="49"/>
      <c r="W24" s="42" t="s">
        <v>255</v>
      </c>
      <c r="X24" s="42" t="s">
        <v>92</v>
      </c>
      <c r="Y24" s="42">
        <v>1300</v>
      </c>
      <c r="Z24" s="42" t="s">
        <v>279</v>
      </c>
      <c r="AA24" s="42">
        <v>1000</v>
      </c>
      <c r="AB24" s="42" t="s">
        <v>257</v>
      </c>
      <c r="AC24" s="50"/>
      <c r="AD24" s="50"/>
      <c r="AE24" s="50"/>
      <c r="AF24" s="50"/>
      <c r="AG24" s="42">
        <v>700</v>
      </c>
      <c r="AH24" s="51">
        <v>600</v>
      </c>
      <c r="AI24" s="42">
        <v>75</v>
      </c>
      <c r="AJ24" s="56" t="s">
        <v>258</v>
      </c>
      <c r="AK24" s="42" t="s">
        <v>259</v>
      </c>
      <c r="AL24" s="49"/>
      <c r="AM24" s="13"/>
      <c r="AN24" s="9"/>
      <c r="AO24" s="9"/>
      <c r="AP24" s="9"/>
      <c r="AQ24" s="9"/>
      <c r="AR24" s="9"/>
      <c r="AS24" s="9"/>
      <c r="AT24" s="9"/>
      <c r="AU24" s="9"/>
      <c r="AV24" s="8"/>
    </row>
    <row r="25" spans="1:48" ht="66" x14ac:dyDescent="0.25">
      <c r="A25" s="42" t="s">
        <v>280</v>
      </c>
      <c r="B25" s="43">
        <v>22</v>
      </c>
      <c r="C25" s="42" t="s">
        <v>86</v>
      </c>
      <c r="D25" s="42" t="s">
        <v>87</v>
      </c>
      <c r="E25" s="42" t="s">
        <v>278</v>
      </c>
      <c r="F25" s="49"/>
      <c r="G25" s="42">
        <v>900</v>
      </c>
      <c r="H25" s="50"/>
      <c r="I25" s="42">
        <v>50</v>
      </c>
      <c r="J25" s="45">
        <v>700</v>
      </c>
      <c r="K25" s="46" t="s">
        <v>281</v>
      </c>
      <c r="L25" s="46" t="s">
        <v>282</v>
      </c>
      <c r="M25" s="42" t="s">
        <v>254</v>
      </c>
      <c r="N25" s="46" t="s">
        <v>283</v>
      </c>
      <c r="O25" s="42">
        <v>200</v>
      </c>
      <c r="P25" s="48"/>
      <c r="Q25" s="42">
        <v>50</v>
      </c>
      <c r="R25" s="42">
        <v>1600</v>
      </c>
      <c r="S25" s="49"/>
      <c r="T25" s="42">
        <v>1500</v>
      </c>
      <c r="U25" s="42">
        <v>0</v>
      </c>
      <c r="V25" s="42" t="s">
        <v>181</v>
      </c>
      <c r="W25" s="42" t="s">
        <v>284</v>
      </c>
      <c r="X25" s="42">
        <v>1700</v>
      </c>
      <c r="Y25" s="42">
        <v>1800</v>
      </c>
      <c r="Z25" s="42" t="s">
        <v>248</v>
      </c>
      <c r="AA25" s="42">
        <v>1700</v>
      </c>
      <c r="AB25" s="42" t="s">
        <v>181</v>
      </c>
      <c r="AC25" s="47" t="s">
        <v>181</v>
      </c>
      <c r="AD25" s="50"/>
      <c r="AE25" s="50"/>
      <c r="AF25" s="50"/>
      <c r="AG25" s="42" t="s">
        <v>181</v>
      </c>
      <c r="AH25" s="51">
        <v>1500</v>
      </c>
      <c r="AI25" s="42">
        <v>50</v>
      </c>
      <c r="AJ25" s="56" t="s">
        <v>285</v>
      </c>
      <c r="AK25" s="42" t="s">
        <v>286</v>
      </c>
      <c r="AL25" s="49"/>
      <c r="AM25" s="13"/>
      <c r="AN25" s="9"/>
      <c r="AO25" s="9"/>
      <c r="AP25" s="9"/>
      <c r="AQ25" s="9"/>
      <c r="AR25" s="9"/>
      <c r="AS25" s="9"/>
      <c r="AT25" s="9"/>
      <c r="AU25" s="9"/>
      <c r="AV25" s="8"/>
    </row>
    <row r="26" spans="1:48" ht="66" x14ac:dyDescent="0.25">
      <c r="A26" s="42" t="s">
        <v>287</v>
      </c>
      <c r="B26" s="43">
        <v>23</v>
      </c>
      <c r="C26" s="42" t="s">
        <v>86</v>
      </c>
      <c r="D26" s="42" t="s">
        <v>87</v>
      </c>
      <c r="E26" s="42" t="s">
        <v>288</v>
      </c>
      <c r="F26" s="49"/>
      <c r="G26" s="42">
        <v>1200</v>
      </c>
      <c r="H26" s="50"/>
      <c r="I26" s="42">
        <v>30</v>
      </c>
      <c r="J26" s="47" t="s">
        <v>92</v>
      </c>
      <c r="K26" s="55"/>
      <c r="L26" s="55"/>
      <c r="M26" s="42" t="s">
        <v>131</v>
      </c>
      <c r="N26" s="55"/>
      <c r="O26" s="47" t="s">
        <v>92</v>
      </c>
      <c r="P26" s="48"/>
      <c r="Q26" s="42">
        <v>37</v>
      </c>
      <c r="R26" s="42">
        <v>1500</v>
      </c>
      <c r="S26" s="49"/>
      <c r="T26" s="42">
        <v>1400</v>
      </c>
      <c r="U26" s="42">
        <v>0</v>
      </c>
      <c r="V26" s="42" t="s">
        <v>181</v>
      </c>
      <c r="W26" s="42" t="s">
        <v>289</v>
      </c>
      <c r="X26" s="42">
        <v>1200</v>
      </c>
      <c r="Y26" s="42">
        <v>1400</v>
      </c>
      <c r="Z26" s="42" t="s">
        <v>290</v>
      </c>
      <c r="AA26" s="42">
        <v>1200</v>
      </c>
      <c r="AB26" s="42" t="s">
        <v>291</v>
      </c>
      <c r="AC26" s="47" t="s">
        <v>181</v>
      </c>
      <c r="AD26" s="50"/>
      <c r="AE26" s="50"/>
      <c r="AF26" s="50"/>
      <c r="AG26" s="42" t="s">
        <v>290</v>
      </c>
      <c r="AH26" s="51">
        <v>700</v>
      </c>
      <c r="AI26" s="42">
        <v>100</v>
      </c>
      <c r="AJ26" s="56" t="s">
        <v>292</v>
      </c>
      <c r="AK26" s="42" t="s">
        <v>293</v>
      </c>
      <c r="AL26" s="42" t="s">
        <v>181</v>
      </c>
      <c r="AM26" s="13"/>
      <c r="AN26" s="9"/>
      <c r="AO26" s="9"/>
      <c r="AP26" s="9"/>
      <c r="AQ26" s="9"/>
      <c r="AR26" s="9"/>
      <c r="AS26" s="9"/>
      <c r="AT26" s="9"/>
      <c r="AU26" s="9"/>
      <c r="AV26" s="8"/>
    </row>
    <row r="27" spans="1:48" ht="39.6" x14ac:dyDescent="0.25">
      <c r="A27" s="42" t="s">
        <v>294</v>
      </c>
      <c r="B27" s="43">
        <v>24</v>
      </c>
      <c r="C27" s="42" t="s">
        <v>195</v>
      </c>
      <c r="D27" s="42" t="s">
        <v>232</v>
      </c>
      <c r="E27" s="42" t="s">
        <v>295</v>
      </c>
      <c r="F27" s="42">
        <v>0.4</v>
      </c>
      <c r="G27" s="42">
        <v>2190</v>
      </c>
      <c r="H27" s="45">
        <v>4000</v>
      </c>
      <c r="I27" s="42">
        <v>50</v>
      </c>
      <c r="J27" s="45">
        <v>500</v>
      </c>
      <c r="K27" s="46" t="s">
        <v>296</v>
      </c>
      <c r="L27" s="46" t="s">
        <v>297</v>
      </c>
      <c r="M27" s="42" t="s">
        <v>298</v>
      </c>
      <c r="N27" s="46" t="s">
        <v>299</v>
      </c>
      <c r="O27" s="47" t="s">
        <v>92</v>
      </c>
      <c r="P27" s="48"/>
      <c r="Q27" s="42">
        <v>40</v>
      </c>
      <c r="R27" s="42">
        <v>1650</v>
      </c>
      <c r="S27" s="49"/>
      <c r="T27" s="42">
        <v>1580</v>
      </c>
      <c r="U27" s="42">
        <v>0</v>
      </c>
      <c r="V27" s="42" t="s">
        <v>300</v>
      </c>
      <c r="W27" s="42" t="s">
        <v>301</v>
      </c>
      <c r="X27" s="42">
        <v>670</v>
      </c>
      <c r="Y27" s="42">
        <v>690</v>
      </c>
      <c r="Z27" s="42" t="s">
        <v>302</v>
      </c>
      <c r="AA27" s="42">
        <v>670</v>
      </c>
      <c r="AB27" s="42" t="s">
        <v>303</v>
      </c>
      <c r="AC27" s="47" t="s">
        <v>181</v>
      </c>
      <c r="AD27" s="47" t="s">
        <v>181</v>
      </c>
      <c r="AE27" s="47" t="s">
        <v>181</v>
      </c>
      <c r="AF27" s="47" t="s">
        <v>181</v>
      </c>
      <c r="AG27" s="42" t="s">
        <v>181</v>
      </c>
      <c r="AH27" s="51">
        <v>600</v>
      </c>
      <c r="AI27" s="42">
        <v>37</v>
      </c>
      <c r="AJ27" s="56" t="s">
        <v>304</v>
      </c>
      <c r="AK27" s="42" t="s">
        <v>305</v>
      </c>
      <c r="AL27" s="49"/>
      <c r="AM27" s="13"/>
      <c r="AN27" s="9"/>
      <c r="AO27" s="9"/>
      <c r="AP27" s="9"/>
      <c r="AQ27" s="9"/>
      <c r="AR27" s="9"/>
      <c r="AS27" s="9"/>
      <c r="AT27" s="9"/>
      <c r="AU27" s="9"/>
      <c r="AV27" s="8"/>
    </row>
    <row r="28" spans="1:48" ht="39.6" x14ac:dyDescent="0.25">
      <c r="A28" s="42" t="s">
        <v>294</v>
      </c>
      <c r="B28" s="43">
        <v>25</v>
      </c>
      <c r="C28" s="42" t="s">
        <v>86</v>
      </c>
      <c r="D28" s="42" t="s">
        <v>306</v>
      </c>
      <c r="E28" s="42" t="s">
        <v>307</v>
      </c>
      <c r="F28" s="42">
        <v>0.25</v>
      </c>
      <c r="G28" s="42">
        <v>1070</v>
      </c>
      <c r="H28" s="45">
        <v>3200</v>
      </c>
      <c r="I28" s="42">
        <v>50</v>
      </c>
      <c r="J28" s="45">
        <v>500</v>
      </c>
      <c r="K28" s="46" t="s">
        <v>296</v>
      </c>
      <c r="L28" s="46" t="s">
        <v>297</v>
      </c>
      <c r="M28" s="42" t="s">
        <v>298</v>
      </c>
      <c r="N28" s="46" t="s">
        <v>299</v>
      </c>
      <c r="O28" s="47" t="s">
        <v>92</v>
      </c>
      <c r="P28" s="48"/>
      <c r="Q28" s="42">
        <v>49</v>
      </c>
      <c r="R28" s="42">
        <v>1730</v>
      </c>
      <c r="S28" s="49"/>
      <c r="T28" s="42">
        <v>1570</v>
      </c>
      <c r="U28" s="42">
        <v>0</v>
      </c>
      <c r="V28" s="42" t="s">
        <v>300</v>
      </c>
      <c r="W28" s="42" t="s">
        <v>301</v>
      </c>
      <c r="X28" s="42">
        <v>1750</v>
      </c>
      <c r="Y28" s="42">
        <v>1780</v>
      </c>
      <c r="Z28" s="42" t="s">
        <v>308</v>
      </c>
      <c r="AA28" s="42">
        <v>1650</v>
      </c>
      <c r="AB28" s="42" t="s">
        <v>309</v>
      </c>
      <c r="AC28" s="47" t="s">
        <v>181</v>
      </c>
      <c r="AD28" s="47" t="s">
        <v>181</v>
      </c>
      <c r="AE28" s="47" t="s">
        <v>181</v>
      </c>
      <c r="AF28" s="47" t="s">
        <v>181</v>
      </c>
      <c r="AG28" s="42" t="s">
        <v>181</v>
      </c>
      <c r="AH28" s="51">
        <v>1500</v>
      </c>
      <c r="AI28" s="42">
        <v>75</v>
      </c>
      <c r="AJ28" s="56" t="s">
        <v>310</v>
      </c>
      <c r="AK28" s="42" t="s">
        <v>311</v>
      </c>
      <c r="AL28" s="49"/>
      <c r="AM28" s="13"/>
      <c r="AN28" s="9"/>
      <c r="AO28" s="9"/>
      <c r="AP28" s="9"/>
      <c r="AQ28" s="9"/>
      <c r="AR28" s="9"/>
      <c r="AS28" s="9"/>
      <c r="AT28" s="9"/>
      <c r="AU28" s="9"/>
      <c r="AV28" s="8"/>
    </row>
    <row r="29" spans="1:48" ht="39.6" x14ac:dyDescent="0.25">
      <c r="A29" s="42" t="s">
        <v>312</v>
      </c>
      <c r="B29" s="43">
        <v>26</v>
      </c>
      <c r="C29" s="42" t="s">
        <v>86</v>
      </c>
      <c r="D29" s="42" t="s">
        <v>87</v>
      </c>
      <c r="E29" s="42" t="s">
        <v>307</v>
      </c>
      <c r="F29" s="42">
        <v>0.2</v>
      </c>
      <c r="G29" s="42">
        <v>750</v>
      </c>
      <c r="H29" s="45">
        <v>2500</v>
      </c>
      <c r="I29" s="42">
        <v>38</v>
      </c>
      <c r="J29" s="50"/>
      <c r="K29" s="46" t="s">
        <v>313</v>
      </c>
      <c r="L29" s="46" t="s">
        <v>152</v>
      </c>
      <c r="M29" s="42" t="s">
        <v>314</v>
      </c>
      <c r="N29" s="46" t="s">
        <v>315</v>
      </c>
      <c r="O29" s="42">
        <v>400</v>
      </c>
      <c r="P29" s="62">
        <v>750</v>
      </c>
      <c r="Q29" s="42">
        <v>50</v>
      </c>
      <c r="R29" s="42">
        <v>1600</v>
      </c>
      <c r="S29" s="49"/>
      <c r="T29" s="42">
        <v>1600</v>
      </c>
      <c r="U29" s="42">
        <v>0</v>
      </c>
      <c r="V29" s="49"/>
      <c r="W29" s="42" t="s">
        <v>316</v>
      </c>
      <c r="X29" s="42">
        <v>1900</v>
      </c>
      <c r="Y29" s="42">
        <v>1950</v>
      </c>
      <c r="Z29" s="42" t="s">
        <v>317</v>
      </c>
      <c r="AA29" s="42">
        <v>1860</v>
      </c>
      <c r="AB29" s="42" t="s">
        <v>318</v>
      </c>
      <c r="AC29" s="47" t="s">
        <v>92</v>
      </c>
      <c r="AD29" s="45" t="s">
        <v>319</v>
      </c>
      <c r="AE29" s="47" t="s">
        <v>92</v>
      </c>
      <c r="AF29" s="50"/>
      <c r="AG29" s="42" t="s">
        <v>320</v>
      </c>
      <c r="AH29" s="51">
        <v>1500</v>
      </c>
      <c r="AI29" s="42">
        <v>50</v>
      </c>
      <c r="AJ29" s="56" t="s">
        <v>321</v>
      </c>
      <c r="AK29" s="42" t="s">
        <v>322</v>
      </c>
      <c r="AL29" s="49"/>
      <c r="AM29" s="13"/>
      <c r="AN29" s="9"/>
      <c r="AO29" s="9"/>
      <c r="AP29" s="9"/>
      <c r="AQ29" s="9"/>
      <c r="AR29" s="9"/>
      <c r="AS29" s="9"/>
      <c r="AT29" s="9"/>
      <c r="AU29" s="9"/>
      <c r="AV29" s="8"/>
    </row>
    <row r="30" spans="1:48" ht="39.6" x14ac:dyDescent="0.25">
      <c r="A30" s="42" t="s">
        <v>96</v>
      </c>
      <c r="B30" s="43">
        <v>27</v>
      </c>
      <c r="C30" s="42" t="s">
        <v>86</v>
      </c>
      <c r="D30" s="42" t="s">
        <v>87</v>
      </c>
      <c r="E30" s="42" t="s">
        <v>323</v>
      </c>
      <c r="F30" s="42">
        <v>0.2</v>
      </c>
      <c r="G30" s="42">
        <v>750</v>
      </c>
      <c r="H30" s="45">
        <v>2500</v>
      </c>
      <c r="I30" s="42" t="s">
        <v>324</v>
      </c>
      <c r="J30" s="50"/>
      <c r="K30" s="46" t="s">
        <v>325</v>
      </c>
      <c r="L30" s="46" t="s">
        <v>152</v>
      </c>
      <c r="M30" s="42" t="s">
        <v>326</v>
      </c>
      <c r="N30" s="55"/>
      <c r="O30" s="42">
        <v>160</v>
      </c>
      <c r="P30" s="48"/>
      <c r="Q30" s="42">
        <v>50</v>
      </c>
      <c r="R30" s="42">
        <v>1750</v>
      </c>
      <c r="S30" s="49"/>
      <c r="T30" s="42">
        <v>1600</v>
      </c>
      <c r="U30" s="42">
        <v>1</v>
      </c>
      <c r="V30" s="49"/>
      <c r="W30" s="42" t="s">
        <v>327</v>
      </c>
      <c r="X30" s="42">
        <v>1900</v>
      </c>
      <c r="Y30" s="42">
        <v>2000</v>
      </c>
      <c r="Z30" s="42" t="s">
        <v>328</v>
      </c>
      <c r="AA30" s="42">
        <v>1800</v>
      </c>
      <c r="AB30" s="42" t="s">
        <v>329</v>
      </c>
      <c r="AC30" s="50"/>
      <c r="AD30" s="50"/>
      <c r="AE30" s="50"/>
      <c r="AF30" s="50"/>
      <c r="AG30" s="49"/>
      <c r="AH30" s="51">
        <v>1300</v>
      </c>
      <c r="AI30" s="42" t="s">
        <v>330</v>
      </c>
      <c r="AJ30" s="52"/>
      <c r="AK30" s="49"/>
      <c r="AL30" s="49"/>
      <c r="AM30" s="13"/>
      <c r="AN30" s="9"/>
      <c r="AO30" s="9"/>
      <c r="AP30" s="9"/>
      <c r="AQ30" s="9"/>
      <c r="AR30" s="9"/>
      <c r="AS30" s="9"/>
      <c r="AT30" s="9"/>
      <c r="AU30" s="9"/>
      <c r="AV30" s="8"/>
    </row>
    <row r="31" spans="1:48" ht="39.6" x14ac:dyDescent="0.25">
      <c r="A31" s="42" t="s">
        <v>331</v>
      </c>
      <c r="B31" s="43">
        <v>28</v>
      </c>
      <c r="C31" s="42" t="s">
        <v>332</v>
      </c>
      <c r="D31" s="42" t="s">
        <v>331</v>
      </c>
      <c r="E31" s="42" t="s">
        <v>333</v>
      </c>
      <c r="F31" s="42">
        <v>0.25</v>
      </c>
      <c r="G31" s="42">
        <v>1750</v>
      </c>
      <c r="H31" s="50"/>
      <c r="I31" s="42">
        <v>38</v>
      </c>
      <c r="J31" s="50"/>
      <c r="K31" s="42" t="s">
        <v>334</v>
      </c>
      <c r="L31" s="42" t="s">
        <v>335</v>
      </c>
      <c r="M31" s="42" t="s">
        <v>336</v>
      </c>
      <c r="N31" s="42" t="s">
        <v>337</v>
      </c>
      <c r="O31" s="42">
        <v>400</v>
      </c>
      <c r="P31" s="48"/>
      <c r="Q31" s="42">
        <v>50</v>
      </c>
      <c r="R31" s="42">
        <v>1500</v>
      </c>
      <c r="S31" s="49"/>
      <c r="T31" s="42">
        <v>1280</v>
      </c>
      <c r="U31" s="42" t="s">
        <v>338</v>
      </c>
      <c r="V31" s="49"/>
      <c r="W31" s="42" t="s">
        <v>339</v>
      </c>
      <c r="X31" s="42">
        <v>900</v>
      </c>
      <c r="Y31" s="42" t="s">
        <v>340</v>
      </c>
      <c r="Z31" s="42" t="s">
        <v>341</v>
      </c>
      <c r="AA31" s="42">
        <v>1075</v>
      </c>
      <c r="AB31" s="42" t="s">
        <v>342</v>
      </c>
      <c r="AC31" s="50"/>
      <c r="AD31" s="50"/>
      <c r="AE31" s="50"/>
      <c r="AF31" s="50"/>
      <c r="AG31" s="49"/>
      <c r="AH31" s="51">
        <v>1400</v>
      </c>
      <c r="AI31" s="42">
        <v>150</v>
      </c>
      <c r="AJ31" s="56" t="s">
        <v>343</v>
      </c>
      <c r="AK31" s="42" t="s">
        <v>344</v>
      </c>
      <c r="AL31" s="49"/>
      <c r="AM31" s="65"/>
      <c r="AN31" s="66"/>
      <c r="AO31" s="66"/>
      <c r="AP31" s="66"/>
      <c r="AQ31" s="66"/>
      <c r="AR31" s="66"/>
      <c r="AS31" s="66"/>
      <c r="AT31" s="66"/>
      <c r="AU31" s="66"/>
      <c r="AV31" s="67"/>
    </row>
    <row r="32" spans="1:48" ht="13.2" x14ac:dyDescent="0.25">
      <c r="A32" s="42" t="s">
        <v>345</v>
      </c>
      <c r="B32" s="43">
        <v>29</v>
      </c>
      <c r="C32" s="68" t="s">
        <v>195</v>
      </c>
      <c r="D32" s="68" t="s">
        <v>232</v>
      </c>
      <c r="E32" s="68">
        <v>2</v>
      </c>
      <c r="F32" s="49"/>
      <c r="G32" s="42">
        <v>3000</v>
      </c>
      <c r="H32" s="49"/>
      <c r="I32" s="49"/>
      <c r="J32" s="49"/>
      <c r="K32" s="49"/>
      <c r="L32" s="49"/>
      <c r="M32" s="49"/>
      <c r="N32" s="49"/>
      <c r="O32" s="49"/>
      <c r="P32" s="48"/>
      <c r="Q32" s="42">
        <v>50</v>
      </c>
      <c r="R32" s="49"/>
      <c r="S32" s="49"/>
      <c r="T32" s="42">
        <v>1600</v>
      </c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51">
        <v>900</v>
      </c>
      <c r="AI32" s="49"/>
      <c r="AJ32" s="52"/>
      <c r="AK32" s="49"/>
      <c r="AL32" s="49"/>
      <c r="AM32" s="69"/>
      <c r="AN32" s="70"/>
      <c r="AO32" s="70"/>
      <c r="AP32" s="70"/>
      <c r="AQ32" s="70"/>
      <c r="AR32" s="70"/>
      <c r="AS32" s="70"/>
      <c r="AT32" s="70"/>
      <c r="AU32" s="70"/>
      <c r="AV32" s="70"/>
    </row>
    <row r="33" spans="1:39" ht="13.2" x14ac:dyDescent="0.25">
      <c r="A33" s="49"/>
      <c r="B33" s="43">
        <v>30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8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71"/>
      <c r="AI33" s="49"/>
      <c r="AJ33" s="52"/>
      <c r="AK33" s="49"/>
      <c r="AL33" s="49"/>
      <c r="AM33" s="72"/>
    </row>
    <row r="34" spans="1:39" ht="13.2" x14ac:dyDescent="0.25">
      <c r="A34" s="49"/>
      <c r="B34" s="43">
        <v>31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8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71"/>
      <c r="AI34" s="49"/>
      <c r="AJ34" s="52"/>
      <c r="AK34" s="49"/>
      <c r="AL34" s="49"/>
      <c r="AM34" s="72"/>
    </row>
    <row r="35" spans="1:39" ht="13.2" x14ac:dyDescent="0.25">
      <c r="A35" s="73"/>
      <c r="B35" s="74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5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6"/>
      <c r="AI35" s="73"/>
      <c r="AJ35" s="77"/>
      <c r="AK35" s="73"/>
      <c r="AL35" s="73"/>
    </row>
    <row r="36" spans="1:39" ht="13.2" x14ac:dyDescent="0.25">
      <c r="A36" s="78"/>
      <c r="B36" s="79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80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81"/>
      <c r="AI36" s="78"/>
      <c r="AJ36" s="82"/>
      <c r="AK36" s="78"/>
      <c r="AL36" s="78"/>
    </row>
    <row r="37" spans="1:39" ht="13.2" x14ac:dyDescent="0.25">
      <c r="A37" s="78"/>
      <c r="B37" s="79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80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81"/>
      <c r="AI37" s="78"/>
      <c r="AJ37" s="82"/>
      <c r="AK37" s="78"/>
      <c r="AL37" s="78"/>
    </row>
    <row r="38" spans="1:39" ht="13.2" x14ac:dyDescent="0.25">
      <c r="A38" s="78"/>
      <c r="B38" s="79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80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81"/>
      <c r="AI38" s="78"/>
      <c r="AJ38" s="82"/>
      <c r="AK38" s="78"/>
      <c r="AL38" s="78"/>
    </row>
    <row r="39" spans="1:39" ht="13.2" x14ac:dyDescent="0.25">
      <c r="A39" s="78"/>
      <c r="B39" s="79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80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81"/>
      <c r="AI39" s="78"/>
      <c r="AJ39" s="82"/>
      <c r="AK39" s="78"/>
      <c r="AL39" s="78"/>
    </row>
    <row r="40" spans="1:39" ht="13.2" x14ac:dyDescent="0.25">
      <c r="A40" s="78"/>
      <c r="B40" s="79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80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81"/>
      <c r="AI40" s="78"/>
      <c r="AJ40" s="82"/>
      <c r="AK40" s="78"/>
      <c r="AL40" s="78"/>
    </row>
    <row r="41" spans="1:39" ht="13.2" x14ac:dyDescent="0.25">
      <c r="A41" s="78"/>
      <c r="B41" s="79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80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81"/>
      <c r="AI41" s="78"/>
      <c r="AJ41" s="82"/>
      <c r="AK41" s="78"/>
      <c r="AL41" s="78"/>
    </row>
    <row r="42" spans="1:39" ht="13.2" x14ac:dyDescent="0.25">
      <c r="A42" s="78"/>
      <c r="B42" s="79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80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81"/>
      <c r="AI42" s="78"/>
      <c r="AJ42" s="82"/>
      <c r="AK42" s="78"/>
      <c r="AL42" s="78"/>
    </row>
    <row r="43" spans="1:39" ht="13.2" x14ac:dyDescent="0.25">
      <c r="A43" s="78"/>
      <c r="B43" s="79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80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81"/>
      <c r="AI43" s="78"/>
      <c r="AJ43" s="82"/>
      <c r="AK43" s="78"/>
      <c r="AL43" s="78"/>
    </row>
    <row r="44" spans="1:39" ht="13.2" x14ac:dyDescent="0.25">
      <c r="A44" s="78"/>
      <c r="B44" s="79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80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81"/>
      <c r="AI44" s="78"/>
      <c r="AJ44" s="82"/>
      <c r="AK44" s="78"/>
      <c r="AL44" s="78"/>
    </row>
    <row r="45" spans="1:39" ht="13.2" x14ac:dyDescent="0.25">
      <c r="A45" s="78"/>
      <c r="B45" s="79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80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81"/>
      <c r="AI45" s="78"/>
      <c r="AJ45" s="82"/>
      <c r="AK45" s="78"/>
      <c r="AL45" s="78"/>
    </row>
    <row r="46" spans="1:39" ht="13.2" x14ac:dyDescent="0.25">
      <c r="A46" s="78"/>
      <c r="B46" s="79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80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81"/>
      <c r="AI46" s="78"/>
      <c r="AJ46" s="82"/>
      <c r="AK46" s="78"/>
      <c r="AL46" s="78"/>
    </row>
    <row r="47" spans="1:39" ht="13.2" x14ac:dyDescent="0.25">
      <c r="A47" s="78"/>
      <c r="B47" s="79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80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81"/>
      <c r="AI47" s="78"/>
      <c r="AJ47" s="82"/>
      <c r="AK47" s="78"/>
      <c r="AL47" s="78"/>
    </row>
    <row r="48" spans="1:39" ht="13.2" x14ac:dyDescent="0.25">
      <c r="A48" s="78"/>
      <c r="B48" s="79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80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81"/>
      <c r="AI48" s="78"/>
      <c r="AJ48" s="82"/>
      <c r="AK48" s="78"/>
      <c r="AL48" s="78"/>
    </row>
    <row r="49" spans="1:38" ht="13.2" x14ac:dyDescent="0.25">
      <c r="A49" s="78"/>
      <c r="B49" s="79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80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81"/>
      <c r="AI49" s="78"/>
      <c r="AJ49" s="82"/>
      <c r="AK49" s="78"/>
      <c r="AL49" s="78"/>
    </row>
    <row r="50" spans="1:38" ht="13.2" x14ac:dyDescent="0.25">
      <c r="A50" s="78"/>
      <c r="B50" s="79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80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81"/>
      <c r="AI50" s="78"/>
      <c r="AJ50" s="82"/>
      <c r="AK50" s="78"/>
      <c r="AL50" s="78"/>
    </row>
    <row r="51" spans="1:38" ht="13.2" x14ac:dyDescent="0.25">
      <c r="A51" s="78"/>
      <c r="B51" s="79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80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81"/>
      <c r="AI51" s="78"/>
      <c r="AJ51" s="82"/>
      <c r="AK51" s="78"/>
      <c r="AL51" s="78"/>
    </row>
    <row r="52" spans="1:38" ht="13.2" x14ac:dyDescent="0.25">
      <c r="A52" s="78"/>
      <c r="B52" s="79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80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81"/>
      <c r="AI52" s="78"/>
      <c r="AJ52" s="82"/>
      <c r="AK52" s="78"/>
      <c r="AL52" s="78"/>
    </row>
    <row r="53" spans="1:38" ht="13.2" x14ac:dyDescent="0.25">
      <c r="A53" s="78"/>
      <c r="B53" s="79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80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81"/>
      <c r="AI53" s="78"/>
      <c r="AJ53" s="82"/>
      <c r="AK53" s="78"/>
      <c r="AL53" s="78"/>
    </row>
    <row r="54" spans="1:38" ht="13.2" x14ac:dyDescent="0.25">
      <c r="A54" s="78"/>
      <c r="B54" s="79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80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81"/>
      <c r="AI54" s="78"/>
      <c r="AJ54" s="82"/>
      <c r="AK54" s="78"/>
      <c r="AL54" s="78"/>
    </row>
    <row r="55" spans="1:38" ht="13.2" x14ac:dyDescent="0.25">
      <c r="A55" s="78"/>
      <c r="B55" s="79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80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81"/>
      <c r="AI55" s="78"/>
      <c r="AJ55" s="82"/>
      <c r="AK55" s="78"/>
      <c r="AL55" s="78"/>
    </row>
    <row r="56" spans="1:38" ht="13.2" x14ac:dyDescent="0.25">
      <c r="A56" s="78"/>
      <c r="B56" s="79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80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81"/>
      <c r="AI56" s="78"/>
      <c r="AJ56" s="82"/>
      <c r="AK56" s="78"/>
      <c r="AL56" s="78"/>
    </row>
    <row r="57" spans="1:38" ht="13.2" x14ac:dyDescent="0.25">
      <c r="A57" s="78"/>
      <c r="B57" s="79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80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81"/>
      <c r="AI57" s="78"/>
      <c r="AJ57" s="82"/>
      <c r="AK57" s="78"/>
      <c r="AL57" s="78"/>
    </row>
    <row r="58" spans="1:38" ht="13.2" x14ac:dyDescent="0.25">
      <c r="A58" s="78"/>
      <c r="B58" s="79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80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81"/>
      <c r="AI58" s="78"/>
      <c r="AJ58" s="82"/>
      <c r="AK58" s="78"/>
      <c r="AL58" s="78"/>
    </row>
    <row r="59" spans="1:38" ht="13.2" x14ac:dyDescent="0.25">
      <c r="A59" s="78"/>
      <c r="B59" s="79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80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81"/>
      <c r="AI59" s="78"/>
      <c r="AJ59" s="82"/>
      <c r="AK59" s="78"/>
      <c r="AL59" s="78"/>
    </row>
    <row r="60" spans="1:38" ht="13.2" x14ac:dyDescent="0.25">
      <c r="A60" s="78"/>
      <c r="B60" s="79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80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81"/>
      <c r="AI60" s="78"/>
      <c r="AJ60" s="82"/>
      <c r="AK60" s="78"/>
      <c r="AL60" s="78"/>
    </row>
    <row r="61" spans="1:38" ht="13.2" x14ac:dyDescent="0.25">
      <c r="A61" s="78"/>
      <c r="B61" s="79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80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81"/>
      <c r="AI61" s="78"/>
      <c r="AJ61" s="82"/>
      <c r="AK61" s="78"/>
      <c r="AL61" s="78"/>
    </row>
    <row r="62" spans="1:38" ht="13.2" x14ac:dyDescent="0.25">
      <c r="A62" s="78"/>
      <c r="B62" s="79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80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81"/>
      <c r="AI62" s="78"/>
      <c r="AJ62" s="82"/>
      <c r="AK62" s="78"/>
      <c r="AL62" s="78"/>
    </row>
    <row r="63" spans="1:38" ht="13.2" x14ac:dyDescent="0.25">
      <c r="A63" s="78"/>
      <c r="B63" s="79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80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81"/>
      <c r="AI63" s="78"/>
      <c r="AJ63" s="82"/>
      <c r="AK63" s="78"/>
      <c r="AL63" s="78"/>
    </row>
    <row r="64" spans="1:38" ht="13.2" x14ac:dyDescent="0.25">
      <c r="A64" s="78"/>
      <c r="B64" s="79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80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81"/>
      <c r="AI64" s="78"/>
      <c r="AJ64" s="82"/>
      <c r="AK64" s="78"/>
      <c r="AL64" s="78"/>
    </row>
    <row r="65" spans="1:38" ht="13.2" x14ac:dyDescent="0.25">
      <c r="A65" s="78"/>
      <c r="B65" s="79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80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81"/>
      <c r="AI65" s="78"/>
      <c r="AJ65" s="82"/>
      <c r="AK65" s="78"/>
      <c r="AL65" s="78"/>
    </row>
    <row r="66" spans="1:38" ht="13.2" x14ac:dyDescent="0.25">
      <c r="A66" s="78"/>
      <c r="B66" s="79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80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81"/>
      <c r="AI66" s="78"/>
      <c r="AJ66" s="82"/>
      <c r="AK66" s="78"/>
      <c r="AL66" s="78"/>
    </row>
    <row r="67" spans="1:38" ht="13.2" x14ac:dyDescent="0.25">
      <c r="A67" s="78"/>
      <c r="B67" s="79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80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81"/>
      <c r="AI67" s="78"/>
      <c r="AJ67" s="82"/>
      <c r="AK67" s="78"/>
      <c r="AL67" s="78"/>
    </row>
    <row r="68" spans="1:38" ht="13.2" x14ac:dyDescent="0.25">
      <c r="A68" s="78"/>
      <c r="B68" s="79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80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81"/>
      <c r="AI68" s="78"/>
      <c r="AJ68" s="82"/>
      <c r="AK68" s="78"/>
      <c r="AL68" s="78"/>
    </row>
    <row r="69" spans="1:38" ht="13.2" x14ac:dyDescent="0.25">
      <c r="A69" s="78"/>
      <c r="B69" s="79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80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81"/>
      <c r="AI69" s="78"/>
      <c r="AJ69" s="82"/>
      <c r="AK69" s="78"/>
      <c r="AL69" s="78"/>
    </row>
    <row r="70" spans="1:38" ht="13.2" x14ac:dyDescent="0.25">
      <c r="A70" s="78"/>
      <c r="B70" s="79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80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81"/>
      <c r="AI70" s="78"/>
      <c r="AJ70" s="82"/>
      <c r="AK70" s="78"/>
      <c r="AL70" s="78"/>
    </row>
    <row r="71" spans="1:38" ht="13.2" x14ac:dyDescent="0.25">
      <c r="A71" s="78"/>
      <c r="B71" s="79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80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81"/>
      <c r="AI71" s="78"/>
      <c r="AJ71" s="82"/>
      <c r="AK71" s="78"/>
      <c r="AL71" s="78"/>
    </row>
    <row r="72" spans="1:38" ht="13.2" x14ac:dyDescent="0.25">
      <c r="A72" s="78"/>
      <c r="B72" s="79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80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81"/>
      <c r="AI72" s="78"/>
      <c r="AJ72" s="82"/>
      <c r="AK72" s="78"/>
      <c r="AL72" s="78"/>
    </row>
    <row r="73" spans="1:38" ht="13.2" x14ac:dyDescent="0.25">
      <c r="A73" s="78"/>
      <c r="B73" s="79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80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81"/>
      <c r="AI73" s="78"/>
      <c r="AJ73" s="82"/>
      <c r="AK73" s="78"/>
      <c r="AL73" s="78"/>
    </row>
    <row r="74" spans="1:38" ht="13.2" x14ac:dyDescent="0.25">
      <c r="A74" s="78"/>
      <c r="B74" s="79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80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81"/>
      <c r="AI74" s="78"/>
      <c r="AJ74" s="82"/>
      <c r="AK74" s="78"/>
      <c r="AL74" s="78"/>
    </row>
    <row r="75" spans="1:38" ht="13.2" x14ac:dyDescent="0.25">
      <c r="A75" s="78"/>
      <c r="B75" s="79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80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81"/>
      <c r="AI75" s="78"/>
      <c r="AJ75" s="82"/>
      <c r="AK75" s="78"/>
      <c r="AL75" s="78"/>
    </row>
    <row r="76" spans="1:38" ht="13.2" x14ac:dyDescent="0.25">
      <c r="A76" s="78"/>
      <c r="B76" s="79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80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81"/>
      <c r="AI76" s="78"/>
      <c r="AJ76" s="82"/>
      <c r="AK76" s="78"/>
      <c r="AL76" s="78"/>
    </row>
    <row r="77" spans="1:38" ht="13.2" x14ac:dyDescent="0.25">
      <c r="A77" s="78"/>
      <c r="B77" s="79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80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81"/>
      <c r="AI77" s="78"/>
      <c r="AJ77" s="82"/>
      <c r="AK77" s="78"/>
      <c r="AL77" s="78"/>
    </row>
    <row r="78" spans="1:38" ht="13.2" x14ac:dyDescent="0.25">
      <c r="A78" s="78"/>
      <c r="B78" s="79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80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81"/>
      <c r="AI78" s="78"/>
      <c r="AJ78" s="82"/>
      <c r="AK78" s="78"/>
      <c r="AL78" s="78"/>
    </row>
    <row r="79" spans="1:38" ht="13.2" x14ac:dyDescent="0.25">
      <c r="A79" s="78"/>
      <c r="B79" s="79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80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81"/>
      <c r="AI79" s="78"/>
      <c r="AJ79" s="82"/>
      <c r="AK79" s="78"/>
      <c r="AL79" s="78"/>
    </row>
    <row r="80" spans="1:38" ht="13.2" x14ac:dyDescent="0.25">
      <c r="A80" s="78"/>
      <c r="B80" s="79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80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81"/>
      <c r="AI80" s="78"/>
      <c r="AJ80" s="82"/>
      <c r="AK80" s="78"/>
      <c r="AL80" s="78"/>
    </row>
    <row r="81" spans="1:38" ht="13.2" x14ac:dyDescent="0.25">
      <c r="A81" s="78"/>
      <c r="B81" s="79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80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81"/>
      <c r="AI81" s="78"/>
      <c r="AJ81" s="82"/>
      <c r="AK81" s="78"/>
      <c r="AL81" s="78"/>
    </row>
    <row r="82" spans="1:38" ht="13.2" x14ac:dyDescent="0.25">
      <c r="A82" s="78"/>
      <c r="B82" s="79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80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81"/>
      <c r="AI82" s="78"/>
      <c r="AJ82" s="82"/>
      <c r="AK82" s="78"/>
      <c r="AL82" s="78"/>
    </row>
    <row r="83" spans="1:38" ht="13.2" x14ac:dyDescent="0.25">
      <c r="A83" s="78"/>
      <c r="B83" s="79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80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81"/>
      <c r="AI83" s="78"/>
      <c r="AJ83" s="82"/>
      <c r="AK83" s="78"/>
      <c r="AL83" s="78"/>
    </row>
    <row r="84" spans="1:38" ht="13.2" x14ac:dyDescent="0.25">
      <c r="A84" s="78"/>
      <c r="B84" s="79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80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81"/>
      <c r="AI84" s="78"/>
      <c r="AJ84" s="82"/>
      <c r="AK84" s="78"/>
      <c r="AL84" s="78"/>
    </row>
    <row r="85" spans="1:38" ht="13.2" x14ac:dyDescent="0.25">
      <c r="A85" s="78"/>
      <c r="B85" s="79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80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81"/>
      <c r="AI85" s="78"/>
      <c r="AJ85" s="82"/>
      <c r="AK85" s="78"/>
      <c r="AL85" s="78"/>
    </row>
    <row r="86" spans="1:38" ht="13.2" x14ac:dyDescent="0.25">
      <c r="A86" s="78"/>
      <c r="B86" s="79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80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81"/>
      <c r="AI86" s="78"/>
      <c r="AJ86" s="82"/>
      <c r="AK86" s="78"/>
      <c r="AL86" s="78"/>
    </row>
    <row r="87" spans="1:38" ht="13.2" x14ac:dyDescent="0.25">
      <c r="A87" s="78"/>
      <c r="B87" s="79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80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81"/>
      <c r="AI87" s="78"/>
      <c r="AJ87" s="82"/>
      <c r="AK87" s="78"/>
      <c r="AL87" s="78"/>
    </row>
    <row r="88" spans="1:38" ht="13.2" x14ac:dyDescent="0.25">
      <c r="A88" s="78"/>
      <c r="B88" s="79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80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81"/>
      <c r="AI88" s="78"/>
      <c r="AJ88" s="82"/>
      <c r="AK88" s="78"/>
      <c r="AL88" s="78"/>
    </row>
    <row r="89" spans="1:38" ht="13.2" x14ac:dyDescent="0.25">
      <c r="A89" s="78"/>
      <c r="B89" s="79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80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81"/>
      <c r="AI89" s="78"/>
      <c r="AJ89" s="82"/>
      <c r="AK89" s="78"/>
      <c r="AL89" s="78"/>
    </row>
    <row r="90" spans="1:38" ht="13.2" x14ac:dyDescent="0.25">
      <c r="A90" s="78"/>
      <c r="B90" s="79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80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81"/>
      <c r="AI90" s="78"/>
      <c r="AJ90" s="82"/>
      <c r="AK90" s="78"/>
      <c r="AL90" s="78"/>
    </row>
    <row r="91" spans="1:38" ht="13.2" x14ac:dyDescent="0.25">
      <c r="A91" s="78"/>
      <c r="B91" s="79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80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81"/>
      <c r="AI91" s="78"/>
      <c r="AJ91" s="82"/>
      <c r="AK91" s="78"/>
      <c r="AL91" s="78"/>
    </row>
    <row r="92" spans="1:38" ht="13.2" x14ac:dyDescent="0.25">
      <c r="A92" s="78"/>
      <c r="B92" s="79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80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81"/>
      <c r="AI92" s="78"/>
      <c r="AJ92" s="82"/>
      <c r="AK92" s="78"/>
      <c r="AL92" s="78"/>
    </row>
    <row r="93" spans="1:38" ht="13.2" x14ac:dyDescent="0.25">
      <c r="A93" s="78"/>
      <c r="B93" s="79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80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81"/>
      <c r="AI93" s="78"/>
      <c r="AJ93" s="82"/>
      <c r="AK93" s="78"/>
      <c r="AL93" s="78"/>
    </row>
    <row r="94" spans="1:38" ht="13.2" x14ac:dyDescent="0.25">
      <c r="A94" s="78"/>
      <c r="B94" s="79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80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81"/>
      <c r="AI94" s="78"/>
      <c r="AJ94" s="82"/>
      <c r="AK94" s="78"/>
      <c r="AL94" s="78"/>
    </row>
    <row r="95" spans="1:38" ht="13.2" x14ac:dyDescent="0.25">
      <c r="A95" s="78"/>
      <c r="B95" s="79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80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81"/>
      <c r="AI95" s="78"/>
      <c r="AJ95" s="82"/>
      <c r="AK95" s="78"/>
      <c r="AL95" s="78"/>
    </row>
    <row r="96" spans="1:38" ht="13.2" x14ac:dyDescent="0.25">
      <c r="A96" s="78"/>
      <c r="B96" s="79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80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81"/>
      <c r="AI96" s="78"/>
      <c r="AJ96" s="82"/>
      <c r="AK96" s="78"/>
      <c r="AL96" s="78"/>
    </row>
    <row r="97" spans="1:38" ht="13.2" x14ac:dyDescent="0.25">
      <c r="A97" s="78"/>
      <c r="B97" s="79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80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81"/>
      <c r="AI97" s="78"/>
      <c r="AJ97" s="82"/>
      <c r="AK97" s="78"/>
      <c r="AL97" s="78"/>
    </row>
    <row r="98" spans="1:38" ht="13.2" x14ac:dyDescent="0.25">
      <c r="A98" s="78"/>
      <c r="B98" s="79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80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81"/>
      <c r="AI98" s="78"/>
      <c r="AJ98" s="82"/>
      <c r="AK98" s="78"/>
      <c r="AL98" s="78"/>
    </row>
    <row r="99" spans="1:38" ht="13.2" x14ac:dyDescent="0.25">
      <c r="A99" s="78"/>
      <c r="B99" s="79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80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81"/>
      <c r="AI99" s="78"/>
      <c r="AJ99" s="82"/>
      <c r="AK99" s="78"/>
      <c r="AL99" s="78"/>
    </row>
    <row r="100" spans="1:38" ht="13.2" x14ac:dyDescent="0.25">
      <c r="A100" s="78"/>
      <c r="B100" s="79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80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81"/>
      <c r="AI100" s="78"/>
      <c r="AJ100" s="82"/>
      <c r="AK100" s="78"/>
      <c r="AL100" s="78"/>
    </row>
    <row r="101" spans="1:38" ht="13.2" x14ac:dyDescent="0.25">
      <c r="A101" s="78"/>
      <c r="B101" s="79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80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81"/>
      <c r="AI101" s="78"/>
      <c r="AJ101" s="82"/>
      <c r="AK101" s="78"/>
      <c r="AL101" s="78"/>
    </row>
    <row r="102" spans="1:38" ht="13.2" x14ac:dyDescent="0.25">
      <c r="A102" s="78"/>
      <c r="B102" s="79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80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81"/>
      <c r="AI102" s="78"/>
      <c r="AJ102" s="82"/>
      <c r="AK102" s="78"/>
      <c r="AL102" s="78"/>
    </row>
    <row r="103" spans="1:38" ht="13.2" x14ac:dyDescent="0.25">
      <c r="A103" s="78"/>
      <c r="B103" s="79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80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81"/>
      <c r="AI103" s="78"/>
      <c r="AJ103" s="82"/>
      <c r="AK103" s="78"/>
      <c r="AL103" s="78"/>
    </row>
    <row r="104" spans="1:38" ht="13.2" x14ac:dyDescent="0.25">
      <c r="A104" s="78"/>
      <c r="B104" s="79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80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81"/>
      <c r="AI104" s="78"/>
      <c r="AJ104" s="82"/>
      <c r="AK104" s="78"/>
      <c r="AL104" s="78"/>
    </row>
    <row r="105" spans="1:38" ht="13.2" x14ac:dyDescent="0.25">
      <c r="A105" s="78"/>
      <c r="B105" s="79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80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81"/>
      <c r="AI105" s="78"/>
      <c r="AJ105" s="82"/>
      <c r="AK105" s="78"/>
      <c r="AL105" s="78"/>
    </row>
    <row r="106" spans="1:38" ht="13.2" x14ac:dyDescent="0.25">
      <c r="A106" s="78"/>
      <c r="B106" s="79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80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81"/>
      <c r="AI106" s="78"/>
      <c r="AJ106" s="82"/>
      <c r="AK106" s="78"/>
      <c r="AL106" s="78"/>
    </row>
    <row r="107" spans="1:38" ht="13.2" x14ac:dyDescent="0.25">
      <c r="A107" s="78"/>
      <c r="B107" s="79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80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81"/>
      <c r="AI107" s="78"/>
      <c r="AJ107" s="82"/>
      <c r="AK107" s="78"/>
      <c r="AL107" s="78"/>
    </row>
    <row r="108" spans="1:38" ht="13.2" x14ac:dyDescent="0.25">
      <c r="A108" s="78"/>
      <c r="B108" s="79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80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81"/>
      <c r="AI108" s="78"/>
      <c r="AJ108" s="82"/>
      <c r="AK108" s="78"/>
      <c r="AL108" s="78"/>
    </row>
    <row r="109" spans="1:38" ht="13.2" x14ac:dyDescent="0.25">
      <c r="A109" s="78"/>
      <c r="B109" s="79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80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81"/>
      <c r="AI109" s="78"/>
      <c r="AJ109" s="82"/>
      <c r="AK109" s="78"/>
      <c r="AL109" s="78"/>
    </row>
    <row r="110" spans="1:38" ht="13.2" x14ac:dyDescent="0.25">
      <c r="A110" s="78"/>
      <c r="B110" s="79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80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81"/>
      <c r="AI110" s="78"/>
      <c r="AJ110" s="82"/>
      <c r="AK110" s="78"/>
      <c r="AL110" s="78"/>
    </row>
    <row r="111" spans="1:38" ht="13.2" x14ac:dyDescent="0.25">
      <c r="A111" s="78"/>
      <c r="B111" s="79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80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81"/>
      <c r="AI111" s="78"/>
      <c r="AJ111" s="82"/>
      <c r="AK111" s="78"/>
      <c r="AL111" s="78"/>
    </row>
    <row r="112" spans="1:38" ht="13.2" x14ac:dyDescent="0.25">
      <c r="A112" s="78"/>
      <c r="B112" s="79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80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81"/>
      <c r="AI112" s="78"/>
      <c r="AJ112" s="82"/>
      <c r="AK112" s="78"/>
      <c r="AL112" s="78"/>
    </row>
    <row r="113" spans="1:38" ht="13.2" x14ac:dyDescent="0.25">
      <c r="A113" s="78"/>
      <c r="B113" s="79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80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81"/>
      <c r="AI113" s="78"/>
      <c r="AJ113" s="82"/>
      <c r="AK113" s="78"/>
      <c r="AL113" s="78"/>
    </row>
    <row r="114" spans="1:38" ht="13.2" x14ac:dyDescent="0.25">
      <c r="A114" s="78"/>
      <c r="B114" s="79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80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81"/>
      <c r="AI114" s="78"/>
      <c r="AJ114" s="82"/>
      <c r="AK114" s="78"/>
      <c r="AL114" s="78"/>
    </row>
    <row r="115" spans="1:38" ht="13.2" x14ac:dyDescent="0.25">
      <c r="A115" s="78"/>
      <c r="B115" s="79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80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8"/>
      <c r="AD115" s="78"/>
      <c r="AE115" s="78"/>
      <c r="AF115" s="78"/>
      <c r="AG115" s="78"/>
      <c r="AH115" s="81"/>
      <c r="AI115" s="78"/>
      <c r="AJ115" s="82"/>
      <c r="AK115" s="78"/>
      <c r="AL115" s="78"/>
    </row>
    <row r="116" spans="1:38" ht="13.2" x14ac:dyDescent="0.25">
      <c r="A116" s="78"/>
      <c r="B116" s="79"/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80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81"/>
      <c r="AI116" s="78"/>
      <c r="AJ116" s="82"/>
      <c r="AK116" s="78"/>
      <c r="AL116" s="78"/>
    </row>
    <row r="117" spans="1:38" ht="13.2" x14ac:dyDescent="0.25">
      <c r="A117" s="78"/>
      <c r="B117" s="79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80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81"/>
      <c r="AI117" s="78"/>
      <c r="AJ117" s="82"/>
      <c r="AK117" s="78"/>
      <c r="AL117" s="78"/>
    </row>
    <row r="118" spans="1:38" ht="13.2" x14ac:dyDescent="0.25">
      <c r="A118" s="78"/>
      <c r="B118" s="79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80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8"/>
      <c r="AD118" s="78"/>
      <c r="AE118" s="78"/>
      <c r="AF118" s="78"/>
      <c r="AG118" s="78"/>
      <c r="AH118" s="81"/>
      <c r="AI118" s="78"/>
      <c r="AJ118" s="82"/>
      <c r="AK118" s="78"/>
      <c r="AL118" s="78"/>
    </row>
    <row r="119" spans="1:38" ht="13.2" x14ac:dyDescent="0.25">
      <c r="A119" s="78"/>
      <c r="B119" s="79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80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81"/>
      <c r="AI119" s="78"/>
      <c r="AJ119" s="82"/>
      <c r="AK119" s="78"/>
      <c r="AL119" s="78"/>
    </row>
    <row r="120" spans="1:38" ht="13.2" x14ac:dyDescent="0.25">
      <c r="A120" s="78"/>
      <c r="B120" s="79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80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81"/>
      <c r="AI120" s="78"/>
      <c r="AJ120" s="82"/>
      <c r="AK120" s="78"/>
      <c r="AL120" s="78"/>
    </row>
    <row r="121" spans="1:38" ht="13.2" x14ac:dyDescent="0.25">
      <c r="A121" s="78"/>
      <c r="B121" s="79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80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81"/>
      <c r="AI121" s="78"/>
      <c r="AJ121" s="82"/>
      <c r="AK121" s="78"/>
      <c r="AL121" s="78"/>
    </row>
    <row r="122" spans="1:38" ht="13.2" x14ac:dyDescent="0.25">
      <c r="A122" s="78"/>
      <c r="B122" s="79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80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81"/>
      <c r="AI122" s="78"/>
      <c r="AJ122" s="82"/>
      <c r="AK122" s="78"/>
      <c r="AL122" s="78"/>
    </row>
    <row r="123" spans="1:38" ht="13.2" x14ac:dyDescent="0.25">
      <c r="A123" s="78"/>
      <c r="B123" s="79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80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81"/>
      <c r="AI123" s="78"/>
      <c r="AJ123" s="82"/>
      <c r="AK123" s="78"/>
      <c r="AL123" s="78"/>
    </row>
    <row r="124" spans="1:38" ht="13.2" x14ac:dyDescent="0.25">
      <c r="A124" s="78"/>
      <c r="B124" s="79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80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81"/>
      <c r="AI124" s="78"/>
      <c r="AJ124" s="82"/>
      <c r="AK124" s="78"/>
      <c r="AL124" s="78"/>
    </row>
    <row r="125" spans="1:38" ht="13.2" x14ac:dyDescent="0.25">
      <c r="A125" s="78"/>
      <c r="B125" s="79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80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81"/>
      <c r="AI125" s="78"/>
      <c r="AJ125" s="82"/>
      <c r="AK125" s="78"/>
      <c r="AL125" s="78"/>
    </row>
    <row r="126" spans="1:38" ht="13.2" x14ac:dyDescent="0.25">
      <c r="A126" s="78"/>
      <c r="B126" s="79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80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81"/>
      <c r="AI126" s="78"/>
      <c r="AJ126" s="82"/>
      <c r="AK126" s="78"/>
      <c r="AL126" s="78"/>
    </row>
    <row r="127" spans="1:38" ht="13.2" x14ac:dyDescent="0.25">
      <c r="A127" s="78"/>
      <c r="B127" s="79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80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81"/>
      <c r="AI127" s="78"/>
      <c r="AJ127" s="82"/>
      <c r="AK127" s="78"/>
      <c r="AL127" s="78"/>
    </row>
    <row r="128" spans="1:38" ht="13.2" x14ac:dyDescent="0.25">
      <c r="A128" s="78"/>
      <c r="B128" s="79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80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81"/>
      <c r="AI128" s="78"/>
      <c r="AJ128" s="82"/>
      <c r="AK128" s="78"/>
      <c r="AL128" s="78"/>
    </row>
    <row r="129" spans="1:38" ht="13.2" x14ac:dyDescent="0.25">
      <c r="A129" s="78"/>
      <c r="B129" s="79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80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81"/>
      <c r="AI129" s="78"/>
      <c r="AJ129" s="82"/>
      <c r="AK129" s="78"/>
      <c r="AL129" s="78"/>
    </row>
    <row r="130" spans="1:38" ht="13.2" x14ac:dyDescent="0.25">
      <c r="A130" s="78"/>
      <c r="B130" s="79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80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81"/>
      <c r="AI130" s="78"/>
      <c r="AJ130" s="82"/>
      <c r="AK130" s="78"/>
      <c r="AL130" s="78"/>
    </row>
    <row r="131" spans="1:38" ht="13.2" x14ac:dyDescent="0.25">
      <c r="A131" s="78"/>
      <c r="B131" s="79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80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81"/>
      <c r="AI131" s="78"/>
      <c r="AJ131" s="82"/>
      <c r="AK131" s="78"/>
      <c r="AL131" s="78"/>
    </row>
    <row r="132" spans="1:38" ht="13.2" x14ac:dyDescent="0.25">
      <c r="A132" s="78"/>
      <c r="B132" s="79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80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81"/>
      <c r="AI132" s="78"/>
      <c r="AJ132" s="82"/>
      <c r="AK132" s="78"/>
      <c r="AL132" s="78"/>
    </row>
    <row r="133" spans="1:38" ht="13.2" x14ac:dyDescent="0.25">
      <c r="A133" s="78"/>
      <c r="B133" s="79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80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8"/>
      <c r="AD133" s="78"/>
      <c r="AE133" s="78"/>
      <c r="AF133" s="78"/>
      <c r="AG133" s="78"/>
      <c r="AH133" s="81"/>
      <c r="AI133" s="78"/>
      <c r="AJ133" s="82"/>
      <c r="AK133" s="78"/>
      <c r="AL133" s="78"/>
    </row>
    <row r="134" spans="1:38" ht="13.2" x14ac:dyDescent="0.25">
      <c r="A134" s="78"/>
      <c r="B134" s="79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80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81"/>
      <c r="AI134" s="78"/>
      <c r="AJ134" s="82"/>
      <c r="AK134" s="78"/>
      <c r="AL134" s="78"/>
    </row>
    <row r="135" spans="1:38" ht="13.2" x14ac:dyDescent="0.25">
      <c r="A135" s="78"/>
      <c r="B135" s="79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80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8"/>
      <c r="AD135" s="78"/>
      <c r="AE135" s="78"/>
      <c r="AF135" s="78"/>
      <c r="AG135" s="78"/>
      <c r="AH135" s="81"/>
      <c r="AI135" s="78"/>
      <c r="AJ135" s="82"/>
      <c r="AK135" s="78"/>
      <c r="AL135" s="78"/>
    </row>
    <row r="136" spans="1:38" ht="13.2" x14ac:dyDescent="0.25">
      <c r="A136" s="78"/>
      <c r="B136" s="79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80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81"/>
      <c r="AI136" s="78"/>
      <c r="AJ136" s="82"/>
      <c r="AK136" s="78"/>
      <c r="AL136" s="78"/>
    </row>
    <row r="137" spans="1:38" ht="13.2" x14ac:dyDescent="0.25">
      <c r="A137" s="78"/>
      <c r="B137" s="79"/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80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81"/>
      <c r="AI137" s="78"/>
      <c r="AJ137" s="82"/>
      <c r="AK137" s="78"/>
      <c r="AL137" s="78"/>
    </row>
    <row r="138" spans="1:38" ht="13.2" x14ac:dyDescent="0.25">
      <c r="A138" s="78"/>
      <c r="B138" s="79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80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81"/>
      <c r="AI138" s="78"/>
      <c r="AJ138" s="82"/>
      <c r="AK138" s="78"/>
      <c r="AL138" s="78"/>
    </row>
    <row r="139" spans="1:38" ht="13.2" x14ac:dyDescent="0.25">
      <c r="A139" s="78"/>
      <c r="B139" s="79"/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80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81"/>
      <c r="AI139" s="78"/>
      <c r="AJ139" s="82"/>
      <c r="AK139" s="78"/>
      <c r="AL139" s="78"/>
    </row>
    <row r="140" spans="1:38" ht="13.2" x14ac:dyDescent="0.25">
      <c r="A140" s="78"/>
      <c r="B140" s="79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80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81"/>
      <c r="AI140" s="78"/>
      <c r="AJ140" s="82"/>
      <c r="AK140" s="78"/>
      <c r="AL140" s="78"/>
    </row>
  </sheetData>
  <mergeCells count="1">
    <mergeCell ref="C1:AL1"/>
  </mergeCells>
  <hyperlinks>
    <hyperlink ref="A1" r:id="rId1"/>
    <hyperlink ref="AL4" r:id="rId2"/>
    <hyperlink ref="AL6" r:id="rId3"/>
    <hyperlink ref="AL7" r:id="rId4"/>
    <hyperlink ref="AL8" r:id="rId5"/>
  </hyperlinks>
  <pageMargins left="0.7" right="0.7" top="0.75" bottom="0.75" header="0.3" footer="0.3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H1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4.44140625" defaultRowHeight="12.75" customHeight="1" x14ac:dyDescent="0.25"/>
  <cols>
    <col min="1" max="1" width="17.33203125" customWidth="1"/>
    <col min="2" max="2" width="4.109375" customWidth="1"/>
    <col min="3" max="3" width="22" customWidth="1"/>
    <col min="4" max="4" width="23.33203125" customWidth="1"/>
    <col min="5" max="5" width="19" customWidth="1"/>
    <col min="6" max="6" width="14.6640625" customWidth="1"/>
    <col min="7" max="7" width="13" customWidth="1"/>
    <col min="8" max="8" width="15.5546875" customWidth="1"/>
    <col min="9" max="9" width="17.33203125" customWidth="1"/>
    <col min="10" max="10" width="21.88671875" customWidth="1"/>
    <col min="11" max="15" width="17.33203125" customWidth="1"/>
    <col min="16" max="16" width="20.5546875" customWidth="1"/>
    <col min="17" max="17" width="17.33203125" customWidth="1"/>
    <col min="18" max="18" width="23.33203125" customWidth="1"/>
    <col min="19" max="21" width="17.33203125" customWidth="1"/>
    <col min="22" max="22" width="24.5546875" customWidth="1"/>
    <col min="23" max="23" width="21.109375" customWidth="1"/>
    <col min="24" max="24" width="15.6640625" customWidth="1"/>
    <col min="25" max="26" width="17.33203125" customWidth="1"/>
    <col min="27" max="27" width="14.109375" customWidth="1"/>
    <col min="28" max="34" width="17.33203125" customWidth="1"/>
  </cols>
  <sheetData>
    <row r="1" spans="1:34" ht="97.8" customHeight="1" x14ac:dyDescent="0.25">
      <c r="A1" s="1" t="s">
        <v>0</v>
      </c>
      <c r="B1" s="2" t="s">
        <v>1</v>
      </c>
      <c r="C1" s="3" t="s">
        <v>3</v>
      </c>
      <c r="D1" s="3" t="s">
        <v>4</v>
      </c>
      <c r="E1" s="5" t="s">
        <v>5</v>
      </c>
      <c r="F1" s="5" t="s">
        <v>6</v>
      </c>
      <c r="G1" s="5" t="s">
        <v>7</v>
      </c>
      <c r="H1" s="7" t="s">
        <v>8</v>
      </c>
      <c r="I1" s="194" t="s">
        <v>10</v>
      </c>
      <c r="J1" s="193"/>
      <c r="K1" s="10" t="s">
        <v>11</v>
      </c>
      <c r="L1" s="5" t="s">
        <v>12</v>
      </c>
      <c r="M1" s="1" t="s">
        <v>13</v>
      </c>
      <c r="N1" s="1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3" t="s">
        <v>19</v>
      </c>
      <c r="T1" s="5" t="s">
        <v>20</v>
      </c>
      <c r="U1" s="1" t="s">
        <v>21</v>
      </c>
      <c r="V1" s="11" t="s">
        <v>22</v>
      </c>
      <c r="W1" s="12" t="s">
        <v>23</v>
      </c>
      <c r="X1" s="14" t="s">
        <v>24</v>
      </c>
      <c r="Y1" s="15" t="s">
        <v>26</v>
      </c>
      <c r="Z1" s="16" t="s">
        <v>27</v>
      </c>
      <c r="AA1" s="14" t="s">
        <v>34</v>
      </c>
      <c r="AB1" s="16" t="s">
        <v>36</v>
      </c>
      <c r="AC1" s="16" t="s">
        <v>38</v>
      </c>
      <c r="AD1" s="17"/>
      <c r="AE1" s="17"/>
      <c r="AF1" s="17"/>
      <c r="AG1" s="17"/>
      <c r="AH1" s="17"/>
    </row>
    <row r="2" spans="1:34" ht="13.2" x14ac:dyDescent="0.25">
      <c r="A2" s="20" t="str">
        <f>'исходные данные'!A4</f>
        <v>mekkaod</v>
      </c>
      <c r="B2" s="23">
        <f>'исходные данные'!B4</f>
        <v>1</v>
      </c>
      <c r="C2" s="25">
        <f>2.15*L2</f>
        <v>6.7542249999999999</v>
      </c>
      <c r="D2" s="25">
        <f>1.97*L2</f>
        <v>6.1887550000000005</v>
      </c>
      <c r="E2" s="26">
        <f t="shared" ref="E2:E32" si="0">(C2+D2)/2/L2</f>
        <v>2.06</v>
      </c>
      <c r="F2" s="26">
        <f>(R2-'исходные данные'!AH4/1000)*0.7365/K2*1000000</f>
        <v>2190.6274072895117</v>
      </c>
      <c r="G2" s="26">
        <f t="shared" ref="G2:G13" si="1">R2*0.7365/K2*1000000</f>
        <v>2678.2670698710804</v>
      </c>
      <c r="H2" s="27">
        <f t="shared" ref="H2:H32" si="2">SQRT(10^(-0.125-1.75*(F2/G2)^0.25*(1.65/736.5)^0.125)*9.81*(M2/100)^3*736.5/E2/1.65/500000^0.16)</f>
        <v>5.42312591369814</v>
      </c>
      <c r="I2" s="26">
        <f t="shared" ref="I2:I32" si="3">O2/H2</f>
        <v>0.12049550308927251</v>
      </c>
      <c r="J2" s="40" t="str">
        <f t="shared" ref="J2:J32" si="4">IF(I2&lt;0.45,"пленочный режим",IF(I2=0.45,"точка торможения",IF(I2&lt;0.85,"промежуточный режим",IF(I2=0.85,"точка подвисания","турбулентный режим"))))</f>
        <v>пленочный режим</v>
      </c>
      <c r="K2" s="44">
        <f>'исходные данные'!Q4/2*'исходные данные'!Q4/2*3.1415</f>
        <v>1963.4375</v>
      </c>
      <c r="L2" s="26">
        <f>K2*'исходные данные'!T4/1000000</f>
        <v>3.1415000000000002</v>
      </c>
      <c r="M2" s="44">
        <f>100-'исходные данные'!G4/10/7.8</f>
        <v>96.538461538461533</v>
      </c>
      <c r="N2" s="44">
        <f>100-'исходные данные'!H4/L2/10/7.8</f>
        <v>96.571946277500942</v>
      </c>
      <c r="O2" s="26">
        <f>759.45/K2/100*M2*'исходные данные'!AA4/1000</f>
        <v>0.65346228528752803</v>
      </c>
      <c r="P2" s="26">
        <f>'исходные данные'!AA4/215</f>
        <v>8.1395348837209305</v>
      </c>
      <c r="Q2" s="53" t="s">
        <v>107</v>
      </c>
      <c r="R2" s="53">
        <v>7.14</v>
      </c>
      <c r="S2" s="25">
        <f>(P2-'исходные данные'!AH4/1000)/('исходные данные'!AH4/1000)</f>
        <v>5.2611806797853307</v>
      </c>
      <c r="T2" s="26">
        <f>(R2-'исходные данные'!AH4/1000)/('исходные данные'!AH4/1000)</f>
        <v>4.4923076923076923</v>
      </c>
      <c r="U2" s="25">
        <f>(P2-'исходные данные'!AI4/1000)/('исходные данные'!AI4/1000)</f>
        <v>107.52713178294576</v>
      </c>
      <c r="V2" s="57">
        <v>3670</v>
      </c>
      <c r="W2" s="58">
        <v>32</v>
      </c>
      <c r="X2" s="59">
        <f>'исходные данные'!O4+'исходные данные'!R4+'исходные данные'!J4</f>
        <v>2760</v>
      </c>
      <c r="Y2" s="59">
        <f>'исходные данные'!AA4/'исходные данные'!Q4</f>
        <v>35</v>
      </c>
      <c r="Z2" s="61">
        <f>'исходные данные'!AA4/'исходные данные'!AH4</f>
        <v>1.3461538461538463</v>
      </c>
      <c r="AA2" s="59">
        <f>'исходные данные'!T4/'исходные данные'!Q4</f>
        <v>32</v>
      </c>
      <c r="AB2" s="61">
        <f>'исходные данные'!T4/1000/L2</f>
        <v>0.50931083877128758</v>
      </c>
      <c r="AC2" s="61">
        <f>'исходные данные'!AH4/1000/L2</f>
        <v>0.41381505650167116</v>
      </c>
      <c r="AD2" s="59"/>
      <c r="AE2" s="59"/>
      <c r="AF2" s="59"/>
      <c r="AG2" s="59"/>
      <c r="AH2" s="59"/>
    </row>
    <row r="3" spans="1:34" ht="13.2" x14ac:dyDescent="0.25">
      <c r="A3" s="20" t="str">
        <f>'исходные данные'!A5</f>
        <v>Miroschnik</v>
      </c>
      <c r="B3" s="23">
        <f>'исходные данные'!B5</f>
        <v>2</v>
      </c>
      <c r="C3" s="25">
        <f>5.128*'исходные данные'!G5/10000/'исходные данные'!F5*L3</f>
        <v>1.9509384516480004</v>
      </c>
      <c r="D3" s="25">
        <f>1.33*L3</f>
        <v>1.0541585985000002</v>
      </c>
      <c r="E3" s="26">
        <f t="shared" si="0"/>
        <v>1.8957200000000001</v>
      </c>
      <c r="F3" s="26">
        <f>(R3-'исходные данные'!AH5/1000)*0.7365/K3*1000000</f>
        <v>2270.8402155766958</v>
      </c>
      <c r="G3" s="26">
        <f t="shared" si="1"/>
        <v>2995.6316284506097</v>
      </c>
      <c r="H3" s="27">
        <f t="shared" si="2"/>
        <v>4.7176604456656515</v>
      </c>
      <c r="I3" s="26">
        <f t="shared" si="3"/>
        <v>0.14889700736158493</v>
      </c>
      <c r="J3" s="40" t="str">
        <f t="shared" si="4"/>
        <v>пленочный режим</v>
      </c>
      <c r="K3" s="44">
        <f>'исходные данные'!Q5/2*'исходные данные'!Q5/2*3.1415</f>
        <v>660.50037500000008</v>
      </c>
      <c r="L3" s="26">
        <f>K3*'исходные данные'!T5/1000000</f>
        <v>0.79260045000000012</v>
      </c>
      <c r="M3" s="44">
        <f>100-'исходные данные'!G5/10/7.8</f>
        <v>84.615384615384613</v>
      </c>
      <c r="N3" s="44">
        <f>100-'исходные данные'!H5/L3/10/7.8</f>
        <v>80.589696379032603</v>
      </c>
      <c r="O3" s="26">
        <f>759.45/K3/100*M3*'исходные данные'!AA5/1000</f>
        <v>0.70244552210773659</v>
      </c>
      <c r="P3" s="26">
        <f>'исходные данные'!AA5/215</f>
        <v>3.3581395348837209</v>
      </c>
      <c r="Q3" s="27"/>
      <c r="R3" s="26">
        <f t="shared" ref="R3:R32" si="5">P3*0.8</f>
        <v>2.686511627906977</v>
      </c>
      <c r="S3" s="25">
        <f>(P3-'исходные данные'!AH5/1000)/('исходные данные'!AH5/1000)</f>
        <v>4.1663685152057246</v>
      </c>
      <c r="T3" s="26">
        <f>(R3-'исходные данные'!AH5/1000)/('исходные данные'!AH5/1000)</f>
        <v>3.1330948121645799</v>
      </c>
      <c r="U3" s="25">
        <f>(P3-'исходные данные'!AI5/1000)/('исходные данные'!AI5/1000)</f>
        <v>66.16279069767441</v>
      </c>
      <c r="V3" s="63"/>
      <c r="W3" s="64"/>
      <c r="X3" s="59" t="e">
        <f>'исходные данные'!O5+'исходные данные'!R5+'исходные данные'!J5</f>
        <v>#VALUE!</v>
      </c>
      <c r="Y3" s="59">
        <f>'исходные данные'!AA5/'исходные данные'!Q5</f>
        <v>24.896551724137932</v>
      </c>
      <c r="Z3" s="61">
        <f>'исходные данные'!AA5/'исходные данные'!AH5</f>
        <v>1.1107692307692307</v>
      </c>
      <c r="AA3" s="59">
        <f>'исходные данные'!T5/'исходные данные'!Q5</f>
        <v>41.379310344827587</v>
      </c>
      <c r="AB3" s="61">
        <f>'исходные данные'!T5/1000/L3</f>
        <v>1.5140036824354564</v>
      </c>
      <c r="AC3" s="61">
        <f>'исходные данные'!AH5/1000/L3</f>
        <v>0.82008532798587219</v>
      </c>
    </row>
    <row r="4" spans="1:34" ht="13.2" x14ac:dyDescent="0.25">
      <c r="A4" s="20" t="str">
        <f>'исходные данные'!A6</f>
        <v>svarnoy</v>
      </c>
      <c r="B4" s="23">
        <f>'исходные данные'!B6</f>
        <v>3</v>
      </c>
      <c r="C4" s="25">
        <f>5.128*'исходные данные'!G6/10000/0.2*L4</f>
        <v>3.9871289700000001</v>
      </c>
      <c r="D4" s="25">
        <f>1.67*L4</f>
        <v>2.6231525000000002</v>
      </c>
      <c r="E4" s="26">
        <f t="shared" si="0"/>
        <v>2.1041799999999999</v>
      </c>
      <c r="F4" s="26">
        <f>(R4-'исходные данные'!AH6/1000)*0.7365/K4*1000000</f>
        <v>1582.6916633662634</v>
      </c>
      <c r="G4" s="26">
        <f t="shared" si="1"/>
        <v>1954.0480217937663</v>
      </c>
      <c r="H4" s="27">
        <f t="shared" si="2"/>
        <v>4.6250799464291283</v>
      </c>
      <c r="I4" s="26">
        <f t="shared" si="3"/>
        <v>0.10222177217145115</v>
      </c>
      <c r="J4" s="40" t="str">
        <f t="shared" si="4"/>
        <v>пленочный режим</v>
      </c>
      <c r="K4" s="44">
        <f>'исходные данные'!Q6/2*'исходные данные'!Q6/2*3.1415</f>
        <v>1963.4375</v>
      </c>
      <c r="L4" s="26">
        <f>K4*'исходные данные'!T6/1000000</f>
        <v>1.5707500000000001</v>
      </c>
      <c r="M4" s="44">
        <f>100-'исходные данные'!G6/10/7.8</f>
        <v>87.307692307692307</v>
      </c>
      <c r="N4" s="44">
        <f>100-'исходные данные'!H6/L4/10/7.8</f>
        <v>100</v>
      </c>
      <c r="O4" s="26">
        <f>759.45/K4/100*M4*'исходные данные'!AA6/1000</f>
        <v>0.47278386855862586</v>
      </c>
      <c r="P4" s="26">
        <f>'исходные данные'!AA6/215</f>
        <v>6.5116279069767442</v>
      </c>
      <c r="Q4" s="27"/>
      <c r="R4" s="26">
        <f t="shared" si="5"/>
        <v>5.2093023255813957</v>
      </c>
      <c r="S4" s="25">
        <f>(P4-'исходные данные'!AH6/1000)/('исходные данные'!AH6/1000)</f>
        <v>5.5774019262391352</v>
      </c>
      <c r="T4" s="26">
        <f>(R4-'исходные данные'!AH6/1000)/('исходные данные'!AH6/1000)</f>
        <v>4.2619215409913087</v>
      </c>
      <c r="U4" s="25">
        <f>(P4-'исходные данные'!AI6/1000)/('исходные данные'!AI6/1000)</f>
        <v>117.39323467230444</v>
      </c>
      <c r="V4" s="63"/>
      <c r="W4" s="64"/>
      <c r="X4" s="59">
        <f>'исходные данные'!O6+'исходные данные'!R6+'исходные данные'!J6</f>
        <v>1390</v>
      </c>
      <c r="Y4" s="59">
        <f>'исходные данные'!AA6/'исходные данные'!Q6</f>
        <v>28</v>
      </c>
      <c r="Z4" s="61">
        <f>'исходные данные'!AA6/'исходные данные'!AH6</f>
        <v>1.4141414141414141</v>
      </c>
      <c r="AA4" s="59">
        <f>'исходные данные'!T6/'исходные данные'!Q6</f>
        <v>16</v>
      </c>
      <c r="AB4" s="61">
        <f>'исходные данные'!T6/1000/L4</f>
        <v>0.50931083877128758</v>
      </c>
      <c r="AC4" s="61">
        <f>'исходные данные'!AH6/1000/L4</f>
        <v>0.63027216297946842</v>
      </c>
    </row>
    <row r="5" spans="1:34" ht="26.4" x14ac:dyDescent="0.25">
      <c r="A5" s="20" t="str">
        <f>'исходные данные'!A7</f>
        <v>torch-vi</v>
      </c>
      <c r="B5" s="23">
        <f>'исходные данные'!B7</f>
        <v>4</v>
      </c>
      <c r="C5" s="83" t="s">
        <v>346</v>
      </c>
      <c r="D5" s="25"/>
      <c r="E5" s="26" t="e">
        <f t="shared" si="0"/>
        <v>#VALUE!</v>
      </c>
      <c r="F5" s="26">
        <f>(R5-'исходные данные'!AH7/1000)*0.7365/K5*1000000</f>
        <v>3022.975951488022</v>
      </c>
      <c r="G5" s="26">
        <f t="shared" si="1"/>
        <v>3633.2480919292661</v>
      </c>
      <c r="H5" s="27" t="e">
        <f t="shared" si="2"/>
        <v>#VALUE!</v>
      </c>
      <c r="I5" s="26" t="e">
        <f t="shared" si="3"/>
        <v>#VALUE!</v>
      </c>
      <c r="J5" s="40" t="e">
        <f t="shared" si="4"/>
        <v>#VALUE!</v>
      </c>
      <c r="K5" s="44">
        <f>'исходные данные'!Q7/2*'исходные данные'!Q7/2*3.1415</f>
        <v>1206.8386400000004</v>
      </c>
      <c r="L5" s="26">
        <f>K5*'исходные данные'!T7/1000000</f>
        <v>1.8102579600000006</v>
      </c>
      <c r="M5" s="44">
        <f>100-'исходные данные'!G7/10/7.8</f>
        <v>100</v>
      </c>
      <c r="N5" s="44">
        <f>100-'исходные данные'!H7/L5/10/7.8</f>
        <v>100</v>
      </c>
      <c r="O5" s="26">
        <f>759.45/K5/100*M5*'исходные данные'!AA7/1000</f>
        <v>1.0068620275532441</v>
      </c>
      <c r="P5" s="26">
        <f>'исходные данные'!AA7/215</f>
        <v>7.441860465116279</v>
      </c>
      <c r="Q5" s="27"/>
      <c r="R5" s="26">
        <f t="shared" si="5"/>
        <v>5.9534883720930232</v>
      </c>
      <c r="S5" s="25">
        <f>(P5-'исходные данные'!AH7/1000)/('исходные данные'!AH7/1000)</f>
        <v>6.441860465116279</v>
      </c>
      <c r="T5" s="26">
        <f>(R5-'исходные данные'!AH7/1000)/('исходные данные'!AH7/1000)</f>
        <v>4.9534883720930232</v>
      </c>
      <c r="U5" s="25">
        <f>(P5-'исходные данные'!AI7/1000)/('исходные данные'!AI7/1000)</f>
        <v>81.68733850129199</v>
      </c>
      <c r="V5" s="63"/>
      <c r="W5" s="64"/>
      <c r="X5" s="59" t="e">
        <f>'исходные данные'!O7+'исходные данные'!R7+'исходные данные'!J7</f>
        <v>#VALUE!</v>
      </c>
      <c r="Y5" s="59">
        <f>'исходные данные'!AA7/'исходные данные'!Q7</f>
        <v>40.816326530612244</v>
      </c>
      <c r="Z5" s="61">
        <f>'исходные данные'!AA7/'исходные данные'!AH7</f>
        <v>1.6</v>
      </c>
      <c r="AA5" s="59">
        <f>'исходные данные'!T7/'исходные данные'!Q7</f>
        <v>38.265306122448976</v>
      </c>
      <c r="AB5" s="61">
        <f>'исходные данные'!T7/1000/L5</f>
        <v>0.82861118865070449</v>
      </c>
      <c r="AC5" s="61">
        <f>'исходные данные'!AH7/1000/L5</f>
        <v>0.55240745910046962</v>
      </c>
    </row>
    <row r="6" spans="1:34" ht="13.2" x14ac:dyDescent="0.25">
      <c r="A6" s="20" t="str">
        <f>'исходные данные'!A8</f>
        <v>torch-vi</v>
      </c>
      <c r="B6" s="23">
        <f>'исходные данные'!B8</f>
        <v>5</v>
      </c>
      <c r="C6" s="25"/>
      <c r="D6" s="83">
        <v>1</v>
      </c>
      <c r="E6" s="26">
        <f t="shared" si="0"/>
        <v>0.54581494209885928</v>
      </c>
      <c r="F6" s="26">
        <f>(R6-'исходные данные'!AH8/1000)*0.7365/K6*1000000</f>
        <v>1878.7082318098503</v>
      </c>
      <c r="G6" s="26">
        <f t="shared" si="1"/>
        <v>2393.2588940252872</v>
      </c>
      <c r="H6" s="27">
        <f t="shared" si="2"/>
        <v>11.20925191571134</v>
      </c>
      <c r="I6" s="26">
        <f t="shared" si="3"/>
        <v>5.9168145870069612E-2</v>
      </c>
      <c r="J6" s="40" t="str">
        <f t="shared" si="4"/>
        <v>пленочный режим</v>
      </c>
      <c r="K6" s="44">
        <f>'исходные данные'!Q8/2*'исходные данные'!Q8/2*3.1415</f>
        <v>572.53837500000009</v>
      </c>
      <c r="L6" s="26">
        <f>K6*'исходные данные'!T8/1000000</f>
        <v>0.91606140000000014</v>
      </c>
      <c r="M6" s="44">
        <f>100-'исходные данные'!G8/10/7.8</f>
        <v>100</v>
      </c>
      <c r="N6" s="44">
        <f>100-'исходные данные'!H8/L6/10/7.8</f>
        <v>93.002372537194105</v>
      </c>
      <c r="O6" s="26">
        <f>759.45/K6/100*M6*'исходные данные'!AA8/1000</f>
        <v>0.66323065244316581</v>
      </c>
      <c r="P6" s="26">
        <f>'исходные данные'!AA8/215</f>
        <v>2.3255813953488373</v>
      </c>
      <c r="Q6" s="27"/>
      <c r="R6" s="26">
        <f t="shared" si="5"/>
        <v>1.86046511627907</v>
      </c>
      <c r="S6" s="25">
        <f>(P6-'исходные данные'!AH8/1000)/('исходные данные'!AH8/1000)</f>
        <v>4.8139534883720936</v>
      </c>
      <c r="T6" s="26">
        <f>(R6-'исходные данные'!AH8/1000)/('исходные данные'!AH8/1000)</f>
        <v>3.6511627906976751</v>
      </c>
      <c r="U6" s="25">
        <f>(P6-'исходные данные'!AI8/1000)/('исходные данные'!AI8/1000)</f>
        <v>85.132644272179164</v>
      </c>
      <c r="V6" s="63"/>
      <c r="W6" s="64"/>
      <c r="X6" s="59" t="e">
        <f>'исходные данные'!O8+'исходные данные'!R8+'исходные данные'!J8</f>
        <v>#VALUE!</v>
      </c>
      <c r="Y6" s="59">
        <f>'исходные данные'!AA8/'исходные данные'!Q8</f>
        <v>18.518518518518519</v>
      </c>
      <c r="Z6" s="61">
        <f>'исходные данные'!AA8/'исходные данные'!AH8</f>
        <v>1.25</v>
      </c>
      <c r="AA6" s="59">
        <f>'исходные данные'!T8/'исходные данные'!Q8</f>
        <v>59.25925925925926</v>
      </c>
      <c r="AB6" s="61">
        <f>'исходные данные'!T8/1000/L6</f>
        <v>1.7466078147163497</v>
      </c>
      <c r="AC6" s="61">
        <f>'исходные данные'!AH8/1000/L6</f>
        <v>0.43665195367908743</v>
      </c>
    </row>
    <row r="7" spans="1:34" ht="13.2" x14ac:dyDescent="0.25">
      <c r="A7" s="20" t="str">
        <f>'исходные данные'!A9</f>
        <v>alex-8888</v>
      </c>
      <c r="B7" s="23">
        <f>'исходные данные'!B9</f>
        <v>6</v>
      </c>
      <c r="C7" s="25"/>
      <c r="D7" s="25"/>
      <c r="E7" s="26">
        <f t="shared" si="0"/>
        <v>0</v>
      </c>
      <c r="F7" s="26">
        <f>(R7-'исходные данные'!AH9/1000)*0.7365/K7*1000000</f>
        <v>1188.870052942171</v>
      </c>
      <c r="G7" s="26">
        <f t="shared" si="1"/>
        <v>1514.484143875377</v>
      </c>
      <c r="H7" s="27" t="e">
        <f t="shared" si="2"/>
        <v>#DIV/0!</v>
      </c>
      <c r="I7" s="26" t="e">
        <f t="shared" si="3"/>
        <v>#DIV/0!</v>
      </c>
      <c r="J7" s="40" t="e">
        <f t="shared" si="4"/>
        <v>#DIV/0!</v>
      </c>
      <c r="K7" s="44">
        <f>'исходные данные'!Q9/2*'исходные данные'!Q9/2*3.1415</f>
        <v>1809.5040000000001</v>
      </c>
      <c r="L7" s="26">
        <f>K7*'исходные данные'!T9/1000000</f>
        <v>2.5333056000000003</v>
      </c>
      <c r="M7" s="44">
        <f>100-'исходные данные'!G9/10/7.8</f>
        <v>100</v>
      </c>
      <c r="N7" s="44">
        <f>100-'исходные данные'!H9/L7/10/7.8</f>
        <v>100</v>
      </c>
      <c r="O7" s="26">
        <f>759.45/K7/100*M7*'исходные данные'!AA9/1000</f>
        <v>0.41970064724919087</v>
      </c>
      <c r="P7" s="26">
        <f>'исходные данные'!AA9/215</f>
        <v>4.6511627906976747</v>
      </c>
      <c r="Q7" s="27"/>
      <c r="R7" s="26">
        <f t="shared" si="5"/>
        <v>3.7209302325581399</v>
      </c>
      <c r="S7" s="25">
        <f>(P7-'исходные данные'!AH9/1000)/('исходные данные'!AH9/1000)</f>
        <v>4.8139534883720936</v>
      </c>
      <c r="T7" s="26">
        <f>(R7-'исходные данные'!AH9/1000)/('исходные данные'!AH9/1000)</f>
        <v>3.6511627906976751</v>
      </c>
      <c r="U7" s="25">
        <f>(P7-'исходные данные'!AI9/1000)/('исходные данные'!AI9/1000)</f>
        <v>70.556350626118061</v>
      </c>
      <c r="V7" s="63"/>
      <c r="W7" s="64"/>
      <c r="X7" s="59" t="e">
        <f>'исходные данные'!O9+'исходные данные'!R9+'исходные данные'!J9</f>
        <v>#VALUE!</v>
      </c>
      <c r="Y7" s="59">
        <f>'исходные данные'!AA9/'исходные данные'!Q9</f>
        <v>20.833333333333332</v>
      </c>
      <c r="Z7" s="61">
        <f>'исходные данные'!AA9/'исходные данные'!AH9</f>
        <v>1.25</v>
      </c>
      <c r="AA7" s="59">
        <f>'исходные данные'!T9/'исходные данные'!Q9</f>
        <v>29.166666666666668</v>
      </c>
      <c r="AB7" s="61">
        <f>'исходные данные'!T9/1000/L7</f>
        <v>0.55263762887509493</v>
      </c>
      <c r="AC7" s="61">
        <f>'исходные данные'!AH9/1000/L7</f>
        <v>0.31579293078576859</v>
      </c>
    </row>
    <row r="8" spans="1:34" ht="13.2" x14ac:dyDescent="0.25">
      <c r="A8" s="20" t="str">
        <f>'исходные данные'!A10</f>
        <v>Серж1</v>
      </c>
      <c r="B8" s="23">
        <f>'исходные данные'!B10</f>
        <v>7</v>
      </c>
      <c r="C8" s="25"/>
      <c r="D8" s="25"/>
      <c r="E8" s="26">
        <f t="shared" si="0"/>
        <v>0</v>
      </c>
      <c r="F8" s="26">
        <f>(R8-'исходные данные'!AH10/1000)*0.7365/K8*1000000</f>
        <v>978.3209111649403</v>
      </c>
      <c r="G8" s="26">
        <f t="shared" si="1"/>
        <v>1290.4480279174811</v>
      </c>
      <c r="H8" s="27" t="e">
        <f t="shared" si="2"/>
        <v>#DIV/0!</v>
      </c>
      <c r="I8" s="26" t="e">
        <f t="shared" si="3"/>
        <v>#DIV/0!</v>
      </c>
      <c r="J8" s="40" t="e">
        <f t="shared" si="4"/>
        <v>#DIV/0!</v>
      </c>
      <c r="K8" s="44">
        <f>'исходные данные'!Q10/2*'исходные данные'!Q10/2*3.1415</f>
        <v>2123.654</v>
      </c>
      <c r="L8" s="26">
        <f>K8*'исходные данные'!T10/1000000</f>
        <v>5.9462312000000006</v>
      </c>
      <c r="M8" s="44">
        <f>100-'исходные данные'!G10/10/7.8</f>
        <v>100</v>
      </c>
      <c r="N8" s="44">
        <f>100-'исходные данные'!H10/L8/10/7.8</f>
        <v>100</v>
      </c>
      <c r="O8" s="26">
        <f>759.45/K8/100*M8*'исходные данные'!AA10/1000</f>
        <v>0.3576147526857012</v>
      </c>
      <c r="P8" s="26">
        <f>'исходные данные'!AA10/215</f>
        <v>4.6511627906976747</v>
      </c>
      <c r="Q8" s="27"/>
      <c r="R8" s="26">
        <f t="shared" si="5"/>
        <v>3.7209302325581399</v>
      </c>
      <c r="S8" s="25">
        <f>(P8-'исходные данные'!AH10/1000)/('исходные данные'!AH10/1000)</f>
        <v>4.1679586563307494</v>
      </c>
      <c r="T8" s="26">
        <f>(R8-'исходные данные'!AH10/1000)/('исходные данные'!AH10/1000)</f>
        <v>3.1343669250646</v>
      </c>
      <c r="U8" s="25">
        <f>(P8-'исходные данные'!AI10/1000)/('исходные данные'!AI10/1000)</f>
        <v>61.015503875968996</v>
      </c>
      <c r="V8" s="63"/>
      <c r="W8" s="64"/>
      <c r="X8" s="59" t="e">
        <f>'исходные данные'!O10+'исходные данные'!R10+'исходные данные'!J10</f>
        <v>#VALUE!</v>
      </c>
      <c r="Y8" s="59">
        <f>'исходные данные'!AA10/'исходные данные'!Q10</f>
        <v>19.23076923076923</v>
      </c>
      <c r="Z8" s="61">
        <f>'исходные данные'!AA10/'исходные данные'!AH10</f>
        <v>1.1111111111111112</v>
      </c>
      <c r="AA8" s="59">
        <f>'исходные данные'!T10/'исходные данные'!Q10</f>
        <v>53.846153846153847</v>
      </c>
      <c r="AB8" s="61">
        <f>'исходные данные'!T10/1000/L8</f>
        <v>0.47088650034327617</v>
      </c>
      <c r="AC8" s="61">
        <f>'исходные данные'!AH10/1000/L8</f>
        <v>0.15135637511033878</v>
      </c>
    </row>
    <row r="9" spans="1:34" ht="13.2" x14ac:dyDescent="0.25">
      <c r="A9" s="20" t="str">
        <f>'исходные данные'!A11</f>
        <v>sergeiK</v>
      </c>
      <c r="B9" s="23">
        <f>'исходные данные'!B11</f>
        <v>8</v>
      </c>
      <c r="C9" s="25">
        <f>5.128*'исходные данные'!G11/10000/0.2*L9</f>
        <v>3.8481835664999995</v>
      </c>
      <c r="D9" s="25">
        <f>2.03*L9</f>
        <v>2.5389406656249993</v>
      </c>
      <c r="E9" s="26">
        <f t="shared" si="0"/>
        <v>2.5533999999999994</v>
      </c>
      <c r="F9" s="26">
        <f>(R9-'исходные данные'!AH11/1000)*0.7365/K9*1000000</f>
        <v>1989.475823938169</v>
      </c>
      <c r="G9" s="26">
        <f t="shared" si="1"/>
        <v>2563.6198536652914</v>
      </c>
      <c r="H9" s="27">
        <f t="shared" si="2"/>
        <v>4.0440325023034038</v>
      </c>
      <c r="I9" s="26">
        <f t="shared" si="3"/>
        <v>0.14864942372792631</v>
      </c>
      <c r="J9" s="40" t="str">
        <f t="shared" si="4"/>
        <v>пленочный режим</v>
      </c>
      <c r="K9" s="44">
        <f>'исходные данные'!Q11/2*'исходные данные'!Q11/2*3.1415</f>
        <v>962.08437500000002</v>
      </c>
      <c r="L9" s="26">
        <f>K9*'исходные данные'!T11/1000000</f>
        <v>1.2507096874999999</v>
      </c>
      <c r="M9" s="44">
        <f>100-'исходные данные'!G11/10/7.8</f>
        <v>84.615384615384613</v>
      </c>
      <c r="N9" s="44">
        <f>100-'исходные данные'!H11/L9/10/7.8</f>
        <v>100</v>
      </c>
      <c r="O9" s="26">
        <f>759.45/K9/100*M9*'исходные данные'!AA11/1000</f>
        <v>0.60114310100440482</v>
      </c>
      <c r="P9" s="26">
        <f>'исходные данные'!AA11/215</f>
        <v>4.1860465116279073</v>
      </c>
      <c r="Q9" s="27"/>
      <c r="R9" s="26">
        <f t="shared" si="5"/>
        <v>3.3488372093023262</v>
      </c>
      <c r="S9" s="25">
        <f>(P9-'исходные данные'!AH11/1000)/('исходные данные'!AH11/1000)</f>
        <v>4.5813953488372094</v>
      </c>
      <c r="T9" s="26">
        <f>(R9-'исходные данные'!AH11/1000)/('исходные данные'!AH11/1000)</f>
        <v>3.4651162790697683</v>
      </c>
      <c r="U9" s="25">
        <f>(P9-'исходные данные'!AI11/1000)/('исходные данные'!AI11/1000)</f>
        <v>189.27484143763215</v>
      </c>
      <c r="V9" s="63"/>
      <c r="W9" s="64"/>
      <c r="X9" s="59" t="e">
        <f>'исходные данные'!O11+'исходные данные'!R11+'исходные данные'!J11</f>
        <v>#VALUE!</v>
      </c>
      <c r="Y9" s="59">
        <f>'исходные данные'!AA11/'исходные данные'!Q11</f>
        <v>25.714285714285715</v>
      </c>
      <c r="Z9" s="61">
        <f>'исходные данные'!AA11/'исходные данные'!AH11</f>
        <v>1.2</v>
      </c>
      <c r="AA9" s="59">
        <f>'исходные данные'!T11/'исходные данные'!Q11</f>
        <v>37.142857142857146</v>
      </c>
      <c r="AB9" s="61">
        <f>'исходные данные'!T11/1000/L9</f>
        <v>1.0394098750434442</v>
      </c>
      <c r="AC9" s="61">
        <f>'исходные данные'!AH11/1000/L9</f>
        <v>0.59965954329429472</v>
      </c>
    </row>
    <row r="10" spans="1:34" ht="13.2" x14ac:dyDescent="0.25">
      <c r="A10" s="20" t="str">
        <f>'исходные данные'!A12</f>
        <v>kaimariss</v>
      </c>
      <c r="B10" s="23">
        <f>'исходные данные'!B12</f>
        <v>9</v>
      </c>
      <c r="C10" s="25">
        <f>5.128*'исходные данные'!G12/10000/0.4*L10</f>
        <v>8.8482043910000012</v>
      </c>
      <c r="D10" s="25">
        <f>2.07*L10</f>
        <v>5.714752914</v>
      </c>
      <c r="E10" s="26">
        <f t="shared" si="0"/>
        <v>2.6374999999999997</v>
      </c>
      <c r="F10" s="26">
        <f>(R10-'исходные данные'!AH12/1000)*0.7365/K10*1000000</f>
        <v>1385.6185699763955</v>
      </c>
      <c r="G10" s="26">
        <f t="shared" si="1"/>
        <v>1871.1496404803474</v>
      </c>
      <c r="H10" s="27">
        <f t="shared" si="2"/>
        <v>2.8929228667815692</v>
      </c>
      <c r="I10" s="26">
        <f t="shared" si="3"/>
        <v>0.12179454610825324</v>
      </c>
      <c r="J10" s="40" t="str">
        <f t="shared" si="4"/>
        <v>пленочный режим</v>
      </c>
      <c r="K10" s="44">
        <f>'исходные данные'!Q12/2*'исходные данные'!Q12/2*3.1415</f>
        <v>2123.654</v>
      </c>
      <c r="L10" s="26">
        <f>K10*'исходные данные'!T12/1000000</f>
        <v>2.7607502000000004</v>
      </c>
      <c r="M10" s="44">
        <f>100-'исходные данные'!G12/10/7.8</f>
        <v>67.948717948717956</v>
      </c>
      <c r="N10" s="44">
        <f>100-'исходные данные'!H12/L10/10/7.8</f>
        <v>71.208123253172459</v>
      </c>
      <c r="O10" s="26">
        <f>759.45/K10/100*M10*'исходные данные'!AA12/1000</f>
        <v>0.35234222748584798</v>
      </c>
      <c r="P10" s="26">
        <f>'исходные данные'!AA12/215</f>
        <v>6.7441860465116283</v>
      </c>
      <c r="Q10" s="27"/>
      <c r="R10" s="26">
        <f t="shared" si="5"/>
        <v>5.395348837209303</v>
      </c>
      <c r="S10" s="25">
        <f>(P10-'исходные данные'!AH12/1000)/('исходные данные'!AH12/1000)</f>
        <v>3.8172757475083068</v>
      </c>
      <c r="T10" s="26">
        <f>(R10-'исходные данные'!AH12/1000)/('исходные данные'!AH12/1000)</f>
        <v>2.8538205980066453</v>
      </c>
      <c r="U10" s="25">
        <f>(P10-'исходные данные'!AI12/1000)/('исходные данные'!AI12/1000)</f>
        <v>50.092318534179</v>
      </c>
      <c r="V10" s="63"/>
      <c r="W10" s="64"/>
      <c r="X10" s="59" t="e">
        <f>'исходные данные'!O12+'исходные данные'!R12+'исходные данные'!J12</f>
        <v>#VALUE!</v>
      </c>
      <c r="Y10" s="59">
        <f>'исходные данные'!AA12/'исходные данные'!Q12</f>
        <v>27.884615384615383</v>
      </c>
      <c r="Z10" s="61">
        <f>'исходные данные'!AA12/'исходные данные'!AH12</f>
        <v>1.0357142857142858</v>
      </c>
      <c r="AA10" s="59">
        <f>'исходные данные'!T12/'исходные данные'!Q12</f>
        <v>25</v>
      </c>
      <c r="AB10" s="61">
        <f>'исходные данные'!T12/1000/L10</f>
        <v>0.47088650034327623</v>
      </c>
      <c r="AC10" s="61">
        <f>'исходные данные'!AH12/1000/L10</f>
        <v>0.50710853883122053</v>
      </c>
    </row>
    <row r="11" spans="1:34" ht="13.2" x14ac:dyDescent="0.25">
      <c r="A11" s="20" t="str">
        <f>'исходные данные'!A13</f>
        <v>kiliwin</v>
      </c>
      <c r="B11" s="23">
        <f>'исходные данные'!B13</f>
        <v>10</v>
      </c>
      <c r="C11" s="25">
        <f>5.128*'исходные данные'!G13/10000/'исходные данные'!F15*L11</f>
        <v>4.9488728064000007</v>
      </c>
      <c r="D11" s="25">
        <f>1.69*L11</f>
        <v>4.8928988159999998</v>
      </c>
      <c r="E11" s="26">
        <f t="shared" si="0"/>
        <v>1.6996666666666664</v>
      </c>
      <c r="F11" s="26">
        <f>(R11-'исходные данные'!AH13/1000)*0.7365/K11*1000000</f>
        <v>2132.5829850945152</v>
      </c>
      <c r="G11" s="26">
        <f t="shared" si="1"/>
        <v>2498.8988373943716</v>
      </c>
      <c r="H11" s="27">
        <f t="shared" si="2"/>
        <v>5.0749274003825509</v>
      </c>
      <c r="I11" s="26">
        <f t="shared" si="3"/>
        <v>0.11896194587726823</v>
      </c>
      <c r="J11" s="40" t="str">
        <f t="shared" si="4"/>
        <v>пленочный режим</v>
      </c>
      <c r="K11" s="44">
        <f>'исходные данные'!Q13/2*'исходные данные'!Q13/2*3.1415</f>
        <v>1809.5040000000001</v>
      </c>
      <c r="L11" s="26">
        <f>K11*'исходные данные'!T13/1000000</f>
        <v>2.8952064000000002</v>
      </c>
      <c r="M11" s="44">
        <f>100-'исходные данные'!G13/10/7.8</f>
        <v>87.179487179487182</v>
      </c>
      <c r="N11" s="44">
        <f>100-'исходные данные'!H13/L11/10/7.8</f>
        <v>100</v>
      </c>
      <c r="O11" s="26">
        <f>759.45/K11/100*M11*'исходные данные'!AA13/1000</f>
        <v>0.60372323873537459</v>
      </c>
      <c r="P11" s="26">
        <f>'исходные данные'!AA13/215</f>
        <v>7.6744186046511631</v>
      </c>
      <c r="Q11" s="27"/>
      <c r="R11" s="26">
        <f t="shared" si="5"/>
        <v>6.1395348837209305</v>
      </c>
      <c r="S11" s="25">
        <f>(P11-'исходные данные'!AH13/1000)/('исходные данные'!AH13/1000)</f>
        <v>7.5271317829457365</v>
      </c>
      <c r="T11" s="26">
        <f>(R11-'исходные данные'!AH13/1000)/('исходные данные'!AH13/1000)</f>
        <v>5.8217054263565888</v>
      </c>
      <c r="U11" s="25">
        <f>(P11-'исходные данные'!AI13/1000)/('исходные данные'!AI13/1000)</f>
        <v>101.32558139534885</v>
      </c>
      <c r="V11" s="131">
        <v>5007</v>
      </c>
      <c r="W11" s="132">
        <v>36</v>
      </c>
      <c r="X11" s="59">
        <f>'исходные данные'!O13+'исходные данные'!R13+'исходные данные'!J13</f>
        <v>2400</v>
      </c>
      <c r="Y11" s="59">
        <f>'исходные данные'!AA13/'исходные данные'!Q13</f>
        <v>34.375</v>
      </c>
      <c r="Z11" s="61">
        <f>'исходные данные'!AA13/'исходные данные'!AH13</f>
        <v>1.8333333333333333</v>
      </c>
      <c r="AA11" s="59">
        <f>'исходные данные'!T13/'исходные данные'!Q13</f>
        <v>33.333333333333336</v>
      </c>
      <c r="AB11" s="61">
        <f>'исходные данные'!T13/1000/L11</f>
        <v>0.55263762887509504</v>
      </c>
      <c r="AC11" s="61">
        <f>'исходные данные'!AH13/1000/L11</f>
        <v>0.31085866624224096</v>
      </c>
    </row>
    <row r="12" spans="1:34" ht="13.2" x14ac:dyDescent="0.25">
      <c r="A12" s="20" t="str">
        <f>'исходные данные'!A14</f>
        <v>Vitalka73</v>
      </c>
      <c r="B12" s="23">
        <f>'исходные данные'!B14</f>
        <v>11</v>
      </c>
      <c r="C12" s="25">
        <f>5.128*'исходные данные'!G14/10000/0.2*L12</f>
        <v>3.2167673241600001</v>
      </c>
      <c r="D12" s="25">
        <f>2.03*L12</f>
        <v>2.1223471360000001</v>
      </c>
      <c r="E12" s="26">
        <f t="shared" si="0"/>
        <v>2.5533999999999999</v>
      </c>
      <c r="F12" s="26">
        <f>(R12-'исходные данные'!AH14/1000)*0.7365/K12*1000000</f>
        <v>2517.3566128978532</v>
      </c>
      <c r="G12" s="26">
        <f t="shared" si="1"/>
        <v>3066.8303913476384</v>
      </c>
      <c r="H12" s="27">
        <f t="shared" si="2"/>
        <v>3.9939535103947548</v>
      </c>
      <c r="I12" s="26">
        <f t="shared" si="3"/>
        <v>0.18005740799367081</v>
      </c>
      <c r="J12" s="40" t="str">
        <f t="shared" si="4"/>
        <v>пленочный режим</v>
      </c>
      <c r="K12" s="44">
        <f>'исходные данные'!Q14/2*'исходные данные'!Q14/2*3.1415</f>
        <v>804.22400000000005</v>
      </c>
      <c r="L12" s="26">
        <f>K12*'исходные данные'!T14/1000000</f>
        <v>1.0454912000000001</v>
      </c>
      <c r="M12" s="44">
        <f>100-'исходные данные'!G14/10/7.8</f>
        <v>84.615384615384613</v>
      </c>
      <c r="N12" s="44">
        <f>100-'исходные данные'!H14/L12/10/7.8</f>
        <v>100</v>
      </c>
      <c r="O12" s="26">
        <f>759.45/K12/100*M12*'исходные данные'!AA14/1000</f>
        <v>0.71914091672890212</v>
      </c>
      <c r="P12" s="26">
        <f>'исходные данные'!AA14/215</f>
        <v>4.1860465116279073</v>
      </c>
      <c r="Q12" s="27"/>
      <c r="R12" s="26">
        <f t="shared" si="5"/>
        <v>3.3488372093023262</v>
      </c>
      <c r="S12" s="25">
        <f>(P12-'исходные данные'!AH14/1000)/('исходные данные'!AH14/1000)</f>
        <v>5.9767441860465125</v>
      </c>
      <c r="T12" s="26">
        <f>(R12-'исходные данные'!AH14/1000)/('исходные данные'!AH14/1000)</f>
        <v>4.5813953488372103</v>
      </c>
      <c r="U12" s="25">
        <f>(P12-'исходные данные'!AI14/1000)/('исходные данные'!AI14/1000)</f>
        <v>138.53488372093025</v>
      </c>
      <c r="V12" s="63"/>
      <c r="W12" s="64"/>
      <c r="X12" s="59" t="e">
        <f>'исходные данные'!O14+'исходные данные'!R14+'исходные данные'!J14</f>
        <v>#VALUE!</v>
      </c>
      <c r="Y12" s="59">
        <f>'исходные данные'!AA14/'исходные данные'!Q14</f>
        <v>28.125</v>
      </c>
      <c r="Z12" s="61">
        <f>'исходные данные'!AA14/'исходные данные'!AH14</f>
        <v>1.5</v>
      </c>
      <c r="AA12" s="59">
        <f>'исходные данные'!T14/'исходные данные'!Q14</f>
        <v>40.625</v>
      </c>
      <c r="AB12" s="61">
        <f>'исходные данные'!T14/1000/L12</f>
        <v>1.2434346649689638</v>
      </c>
      <c r="AC12" s="61">
        <f>'исходные данные'!AH14/1000/L12</f>
        <v>0.57389292229336786</v>
      </c>
    </row>
    <row r="13" spans="1:34" ht="13.2" x14ac:dyDescent="0.25">
      <c r="A13" s="20" t="str">
        <f>'исходные данные'!A15</f>
        <v>niks-merk</v>
      </c>
      <c r="B13" s="23">
        <f>'исходные данные'!B15</f>
        <v>12</v>
      </c>
      <c r="C13" s="25">
        <f>5.128*'исходные данные'!G15/10000/0.3*L13</f>
        <v>5.0455304784000008</v>
      </c>
      <c r="D13" s="25">
        <f>2.23*L13</f>
        <v>3.291205041</v>
      </c>
      <c r="E13" s="26">
        <f t="shared" si="0"/>
        <v>2.824333333333334</v>
      </c>
      <c r="F13" s="26">
        <f>(R13-'исходные данные'!AH15/1000)*0.7365/K13*1000000</f>
        <v>1575.063509630392</v>
      </c>
      <c r="G13" s="26">
        <f t="shared" si="1"/>
        <v>2153.9330046227583</v>
      </c>
      <c r="H13" s="27">
        <f t="shared" si="2"/>
        <v>3.2091750052683974</v>
      </c>
      <c r="I13" s="26">
        <f t="shared" si="3"/>
        <v>0.1383079324073333</v>
      </c>
      <c r="J13" s="40" t="str">
        <f t="shared" si="4"/>
        <v>пленочный режим</v>
      </c>
      <c r="K13" s="44">
        <f>'исходные данные'!Q15/2*'исходные данные'!Q15/2*3.1415</f>
        <v>1017.846</v>
      </c>
      <c r="L13" s="26">
        <f>K13*'исходные данные'!T15/1000000</f>
        <v>1.4758766999999999</v>
      </c>
      <c r="M13" s="44">
        <f>100-'исходные данные'!G15/10/7.8</f>
        <v>74.358974358974365</v>
      </c>
      <c r="N13" s="44">
        <f>100-'исходные данные'!H15/L13/10/7.8</f>
        <v>100</v>
      </c>
      <c r="O13" s="26">
        <f>759.45/K13/100*M13*'исходные данные'!AA15/1000</f>
        <v>0.44385435971196502</v>
      </c>
      <c r="P13" s="26">
        <f>'исходные данные'!AA15/215</f>
        <v>3.7209302325581395</v>
      </c>
      <c r="Q13" s="27"/>
      <c r="R13" s="26">
        <f t="shared" si="5"/>
        <v>2.9767441860465116</v>
      </c>
      <c r="S13" s="25">
        <f>(P13-'исходные данные'!AH15/1000)/('исходные данные'!AH15/1000)</f>
        <v>3.6511627906976738</v>
      </c>
      <c r="T13" s="26">
        <f>(R13-'исходные данные'!AH15/1000)/('исходные данные'!AH15/1000)</f>
        <v>2.7209302325581395</v>
      </c>
      <c r="U13" s="25">
        <f>(P13-'исходные данные'!AI15/1000)/('исходные данные'!AI15/1000)</f>
        <v>73.418604651162795</v>
      </c>
      <c r="V13" s="63"/>
      <c r="W13" s="64"/>
      <c r="X13" s="59" t="e">
        <f>'исходные данные'!O15+'исходные данные'!R15+'исходные данные'!J15</f>
        <v>#VALUE!</v>
      </c>
      <c r="Y13" s="59">
        <f>'исходные данные'!AA15/'исходные данные'!Q15</f>
        <v>22.222222222222221</v>
      </c>
      <c r="Z13" s="61">
        <f>'исходные данные'!AA15/'исходные данные'!AH15</f>
        <v>1</v>
      </c>
      <c r="AA13" s="59">
        <f>'исходные данные'!T15/'исходные данные'!Q15</f>
        <v>40.277777777777779</v>
      </c>
      <c r="AB13" s="61">
        <f>'исходные данные'!T15/1000/L13</f>
        <v>0.98246689577794677</v>
      </c>
      <c r="AC13" s="61">
        <f>'исходные данные'!AH15/1000/L13</f>
        <v>0.54205070111886722</v>
      </c>
    </row>
    <row r="14" spans="1:34" ht="13.2" x14ac:dyDescent="0.25">
      <c r="A14" s="20" t="str">
        <f>'исходные данные'!A16</f>
        <v>moh1971</v>
      </c>
      <c r="B14" s="23">
        <f>'исходные данные'!B16</f>
        <v>13</v>
      </c>
      <c r="C14" s="25"/>
      <c r="D14" s="25"/>
      <c r="E14" s="26">
        <f t="shared" si="0"/>
        <v>0</v>
      </c>
      <c r="F14" s="26">
        <f>(R13-'исходные данные'!AH16/1000)*0.7365/K14*1000000</f>
        <v>872.77903830565322</v>
      </c>
      <c r="G14" s="26">
        <f>R13*0.7365/K14*1000000</f>
        <v>1116.5988695964379</v>
      </c>
      <c r="H14" s="27" t="e">
        <f t="shared" si="2"/>
        <v>#DIV/0!</v>
      </c>
      <c r="I14" s="26" t="e">
        <f t="shared" si="3"/>
        <v>#DIV/0!</v>
      </c>
      <c r="J14" s="40" t="e">
        <f t="shared" si="4"/>
        <v>#DIV/0!</v>
      </c>
      <c r="K14" s="44">
        <f>'исходные данные'!Q16/2*'исходные данные'!Q16/2*3.1415</f>
        <v>1963.4375</v>
      </c>
      <c r="L14" s="26">
        <f>K14*'исходные данные'!T16/1000000</f>
        <v>2.9451562500000001</v>
      </c>
      <c r="M14" s="44">
        <f>100-'исходные данные'!G16/10/7.8</f>
        <v>100</v>
      </c>
      <c r="N14" s="44">
        <f>100-'исходные данные'!H16/L14/10/7.8</f>
        <v>100</v>
      </c>
      <c r="O14" s="26">
        <f>759.45/K14/100*M14*'исходные данные'!AA16/1000</f>
        <v>0.34811650485436896</v>
      </c>
      <c r="P14" s="26">
        <f>'исходные данные'!AA16/215</f>
        <v>4.1860465116279073</v>
      </c>
      <c r="Q14" s="27"/>
      <c r="R14" s="26">
        <f t="shared" si="5"/>
        <v>3.3488372093023262</v>
      </c>
      <c r="S14" s="25">
        <f>(P14-'исходные данные'!AH16/1000)/('исходные данные'!AH16/1000)</f>
        <v>5.4400715563506266</v>
      </c>
      <c r="T14" s="26">
        <f>(R13-'исходные данные'!AH16/1000)/('исходные данные'!AH16/1000)</f>
        <v>3.5796064400715562</v>
      </c>
      <c r="U14" s="25">
        <f>(P14-'исходные данные'!AI16/1000)/('исходные данные'!AI16/1000)</f>
        <v>82.720930232558146</v>
      </c>
      <c r="V14" s="63"/>
      <c r="W14" s="64"/>
      <c r="X14" s="59" t="e">
        <f>'исходные данные'!O16+'исходные данные'!R16+'исходные данные'!J16</f>
        <v>#VALUE!</v>
      </c>
      <c r="Y14" s="59">
        <f>'исходные данные'!AA16/'исходные данные'!Q16</f>
        <v>18</v>
      </c>
      <c r="Z14" s="61">
        <f>'исходные данные'!AA16/'исходные данные'!AH16</f>
        <v>1.3846153846153846</v>
      </c>
      <c r="AA14" s="59">
        <f>'исходные данные'!T16/'исходные данные'!Q16</f>
        <v>30</v>
      </c>
      <c r="AB14" s="61">
        <f>'исходные данные'!T16/1000/L14</f>
        <v>0.50931083877128758</v>
      </c>
      <c r="AC14" s="61">
        <f>'исходные данные'!AH16/1000/L14</f>
        <v>0.22070136346755795</v>
      </c>
    </row>
    <row r="15" spans="1:34" ht="13.2" x14ac:dyDescent="0.25">
      <c r="A15" s="20" t="str">
        <f>'исходные данные'!A17</f>
        <v>Aleks9410</v>
      </c>
      <c r="B15" s="23">
        <f>'исходные данные'!B17</f>
        <v>14</v>
      </c>
      <c r="C15" s="25">
        <f>5.128*'исходные данные'!G27/10000/0.3*L15</f>
        <v>7.4323305923200005</v>
      </c>
      <c r="D15" s="25">
        <f>2.76*L15</f>
        <v>5.4797812800000001</v>
      </c>
      <c r="E15" s="26">
        <f t="shared" si="0"/>
        <v>3.2517199999999997</v>
      </c>
      <c r="F15" s="26">
        <f>(R15-'исходные данные'!AH27/1000)*0.7365/K15*1000000</f>
        <v>1109.5110838031012</v>
      </c>
      <c r="G15" s="26">
        <f t="shared" ref="G15:G32" si="6">R15*0.7365/K15*1000000</f>
        <v>1461.1743020109639</v>
      </c>
      <c r="H15" s="27">
        <f t="shared" si="2"/>
        <v>2.8217933885162831</v>
      </c>
      <c r="I15" s="26">
        <f t="shared" si="3"/>
        <v>0.10320957287346912</v>
      </c>
      <c r="J15" s="40" t="str">
        <f t="shared" si="4"/>
        <v>пленочный режим</v>
      </c>
      <c r="K15" s="44">
        <f>'исходные данные'!Q27/2*'исходные данные'!Q27/2*3.1415</f>
        <v>1256.6000000000001</v>
      </c>
      <c r="L15" s="26">
        <f>K15*'исходные данные'!T27/1000000</f>
        <v>1.9854280000000002</v>
      </c>
      <c r="M15" s="44">
        <f>100-'исходные данные'!G27/10/7.8</f>
        <v>71.92307692307692</v>
      </c>
      <c r="N15" s="44">
        <f>100-'исходные данные'!H27/L15/10/7.8</f>
        <v>74.170782681592442</v>
      </c>
      <c r="O15" s="26">
        <f>759.45/K15/100*M15*'исходные данные'!AA27/1000</f>
        <v>0.29123609036594467</v>
      </c>
      <c r="P15" s="26">
        <f>'исходные данные'!AA27/215</f>
        <v>3.1162790697674421</v>
      </c>
      <c r="Q15" s="27"/>
      <c r="R15" s="26">
        <f t="shared" si="5"/>
        <v>2.493023255813954</v>
      </c>
      <c r="S15" s="25">
        <f>(P15-'исходные данные'!AH27/1000)/('исходные данные'!AH27/1000)</f>
        <v>4.1937984496124034</v>
      </c>
      <c r="T15" s="26">
        <f>(R15-'исходные данные'!AH27/1000)/('исходные данные'!AH27/1000)</f>
        <v>3.1550387596899232</v>
      </c>
      <c r="U15" s="25">
        <f>(P15-'исходные данные'!AI27/1000)/('исходные данные'!AI27/1000)</f>
        <v>83.223758642363308</v>
      </c>
      <c r="V15" s="63"/>
      <c r="W15" s="64"/>
      <c r="X15" s="59" t="e">
        <f>'исходные данные'!O27+'исходные данные'!R27+'исходные данные'!J27</f>
        <v>#VALUE!</v>
      </c>
      <c r="Y15" s="59">
        <f>'исходные данные'!AA17/'исходные данные'!Q17</f>
        <v>23</v>
      </c>
      <c r="Z15" s="61">
        <f>'исходные данные'!AA17/'исходные данные'!AH17</f>
        <v>1.1499999999999999</v>
      </c>
      <c r="AA15" s="59">
        <f>'исходные данные'!T17/'исходные данные'!Q17</f>
        <v>38.4</v>
      </c>
      <c r="AB15" s="61">
        <f>'исходные данные'!T17/1000/L15</f>
        <v>0.96704589640117888</v>
      </c>
      <c r="AC15" s="61">
        <f>'исходные данные'!AH17/1000/L15</f>
        <v>0.5036697377089473</v>
      </c>
    </row>
    <row r="16" spans="1:34" ht="13.2" x14ac:dyDescent="0.25">
      <c r="A16" s="20" t="str">
        <f>'исходные данные'!A18</f>
        <v>Sem_stv</v>
      </c>
      <c r="B16" s="23">
        <f>'исходные данные'!B18</f>
        <v>15</v>
      </c>
      <c r="C16" s="25">
        <f>5.128*'исходные данные'!G17/10000/0.2*L16</f>
        <v>24.647706359999997</v>
      </c>
      <c r="D16" s="25">
        <f>2.03*L16</f>
        <v>7.6526939999999994</v>
      </c>
      <c r="E16" s="26">
        <f t="shared" si="0"/>
        <v>4.2840999999999996</v>
      </c>
      <c r="F16" s="26">
        <f>(R16-'исходные данные'!AH17/1000)*0.7365/K16*1000000</f>
        <v>1230.0034422898259</v>
      </c>
      <c r="G16" s="26">
        <f t="shared" si="6"/>
        <v>1605.1108750448793</v>
      </c>
      <c r="H16" s="27">
        <f t="shared" si="2"/>
        <v>2.2211332802060948</v>
      </c>
      <c r="I16" s="26">
        <f t="shared" si="3"/>
        <v>0.13479383412808471</v>
      </c>
      <c r="J16" s="40" t="str">
        <f t="shared" si="4"/>
        <v>пленочный режим</v>
      </c>
      <c r="K16" s="44">
        <f>'исходные данные'!Q17/2*'исходные данные'!Q17/2*3.1415</f>
        <v>1963.4375</v>
      </c>
      <c r="L16" s="26">
        <f>K16*'исходные данные'!T17/1000000</f>
        <v>3.7698</v>
      </c>
      <c r="M16" s="44">
        <f>100-'исходные данные'!G17/10/7.8</f>
        <v>67.307692307692307</v>
      </c>
      <c r="N16" s="44">
        <f>100-'исходные данные'!H17/L16/10/7.8</f>
        <v>70.582673909110326</v>
      </c>
      <c r="O16" s="26">
        <f>759.45/K16/100*M16*'исходные данные'!AA17/1000</f>
        <v>0.29939507094846901</v>
      </c>
      <c r="P16" s="26">
        <f>'исходные данные'!AA17/215</f>
        <v>5.3488372093023253</v>
      </c>
      <c r="Q16" s="27"/>
      <c r="R16" s="26">
        <f t="shared" si="5"/>
        <v>4.2790697674418601</v>
      </c>
      <c r="S16" s="25">
        <f>(P16-'исходные данные'!AH17/1000)/('исходные данные'!AH17/1000)</f>
        <v>4.3488372093023253</v>
      </c>
      <c r="T16" s="26">
        <f>(R16-'исходные данные'!AH17/1000)/('исходные данные'!AH17/1000)</f>
        <v>3.2790697674418601</v>
      </c>
      <c r="U16" s="25">
        <f>(P16-'исходные данные'!AI17/1000)/('исходные данные'!AI17/1000)</f>
        <v>64.229722064662496</v>
      </c>
      <c r="V16" s="63"/>
      <c r="W16" s="64"/>
      <c r="X16" s="59">
        <f>'исходные данные'!O17+'исходные данные'!R17+'исходные данные'!J17</f>
        <v>2920</v>
      </c>
      <c r="Y16" s="59">
        <f>'исходные данные'!AA18/'исходные данные'!Q18</f>
        <v>28.571428571428573</v>
      </c>
      <c r="Z16" s="61">
        <f>'исходные данные'!AA18/'исходные данные'!AH18</f>
        <v>1.25</v>
      </c>
      <c r="AA16" s="59">
        <f>'исходные данные'!T18/'исходные данные'!Q18</f>
        <v>41.428571428571431</v>
      </c>
      <c r="AB16" s="61">
        <f>'исходные данные'!T18/1000/L16</f>
        <v>0.38463578969706613</v>
      </c>
      <c r="AC16" s="61">
        <f>'исходные данные'!AH18/1000/L16</f>
        <v>0.21221284948803651</v>
      </c>
    </row>
    <row r="17" spans="1:29" ht="13.2" x14ac:dyDescent="0.25">
      <c r="A17" s="20" t="str">
        <f>'исходные данные'!A19</f>
        <v>Архип</v>
      </c>
      <c r="B17" s="23">
        <f>'исходные данные'!B19</f>
        <v>16</v>
      </c>
      <c r="C17" s="25">
        <f>5.128*'исходные данные'!G18/10000/0.4*L17</f>
        <v>2.1461023736249998</v>
      </c>
      <c r="D17" s="25">
        <f>2.06*L17</f>
        <v>2.8737460281250002</v>
      </c>
      <c r="E17" s="26">
        <f t="shared" si="0"/>
        <v>1.7991999999999999</v>
      </c>
      <c r="F17" s="26">
        <f>(R17-'исходные данные'!AH18/1000)*0.7365/K17*1000000</f>
        <v>2236.0462056969486</v>
      </c>
      <c r="G17" s="26">
        <f t="shared" si="6"/>
        <v>2848.4665040725458</v>
      </c>
      <c r="H17" s="27">
        <f t="shared" si="2"/>
        <v>4.8054450773260271</v>
      </c>
      <c r="I17" s="26">
        <f t="shared" si="3"/>
        <v>0.13899581998041566</v>
      </c>
      <c r="J17" s="40" t="str">
        <f t="shared" si="4"/>
        <v>пленочный режим</v>
      </c>
      <c r="K17" s="44">
        <f>'исходные данные'!Q18/2*'исходные данные'!Q18/2*3.1415</f>
        <v>962.08437500000002</v>
      </c>
      <c r="L17" s="26">
        <f>K17*'исходные данные'!T18/1000000</f>
        <v>1.39502234375</v>
      </c>
      <c r="M17" s="44">
        <f>100-'исходные данные'!G18/10/7.8</f>
        <v>84.615384615384613</v>
      </c>
      <c r="N17" s="44">
        <f>100-'исходные данные'!H18/L17/10/7.8</f>
        <v>100</v>
      </c>
      <c r="O17" s="26">
        <f>759.45/K17/100*M17*'исходные данные'!AA18/1000</f>
        <v>0.66793677889378311</v>
      </c>
      <c r="P17" s="26">
        <f>'исходные данные'!AA18/215</f>
        <v>4.6511627906976747</v>
      </c>
      <c r="Q17" s="27"/>
      <c r="R17" s="26">
        <f t="shared" si="5"/>
        <v>3.7209302325581399</v>
      </c>
      <c r="S17" s="25">
        <f>(P17-'исходные данные'!AH18/1000)/('исходные данные'!AH18/1000)</f>
        <v>4.8139534883720936</v>
      </c>
      <c r="T17" s="26">
        <f>(R17-'исходные данные'!AH18/1000)/('исходные данные'!AH18/1000)</f>
        <v>3.6511627906976751</v>
      </c>
      <c r="U17" s="25">
        <f>(P17-'исходные данные'!AI18/1000)/('исходные данные'!AI18/1000)</f>
        <v>92.023255813953497</v>
      </c>
      <c r="V17" s="131">
        <v>2100</v>
      </c>
      <c r="W17" s="132">
        <v>27</v>
      </c>
      <c r="X17" s="59" t="e">
        <f>'исходные данные'!O18+'исходные данные'!R18+'исходные данные'!J18</f>
        <v>#VALUE!</v>
      </c>
      <c r="Y17" s="59">
        <f>'исходные данные'!AA19/'исходные данные'!Q19</f>
        <v>10</v>
      </c>
      <c r="Z17" s="61">
        <f>'исходные данные'!AA19/'исходные данные'!AH19</f>
        <v>1.1666666666666667</v>
      </c>
      <c r="AA17" s="59">
        <f>'исходные данные'!T19/'исходные данные'!Q19</f>
        <v>38.571428571428569</v>
      </c>
      <c r="AB17" s="61">
        <f>'исходные данные'!T19/1000/L17</f>
        <v>0.96772643538527559</v>
      </c>
      <c r="AC17" s="61">
        <f>'исходные данные'!AH19/1000/L17</f>
        <v>0.21505031897450566</v>
      </c>
    </row>
    <row r="18" spans="1:29" ht="13.2" x14ac:dyDescent="0.25">
      <c r="A18" s="20" t="str">
        <f>'исходные данные'!A20</f>
        <v>Архип</v>
      </c>
      <c r="B18" s="23">
        <f>'исходные данные'!B20</f>
        <v>17</v>
      </c>
      <c r="C18" s="25">
        <f>5.128*'исходные данные'!G19/10000/0.25*L18</f>
        <v>7.9923812534999996</v>
      </c>
      <c r="D18" s="25">
        <f>1.62*L18</f>
        <v>2.1040785281250001</v>
      </c>
      <c r="E18" s="26">
        <f t="shared" si="0"/>
        <v>3.8868000000000005</v>
      </c>
      <c r="F18" s="26">
        <f>(R18-'исходные данные'!AH19/1000)*0.7365/K18*1000000</f>
        <v>767.30566453454196</v>
      </c>
      <c r="G18" s="26">
        <f t="shared" si="6"/>
        <v>996.96327642539109</v>
      </c>
      <c r="H18" s="27">
        <f t="shared" si="2"/>
        <v>2.0366481225610014</v>
      </c>
      <c r="I18" s="26">
        <f t="shared" si="3"/>
        <v>8.3480434890908548E-2</v>
      </c>
      <c r="J18" s="40" t="str">
        <f t="shared" si="4"/>
        <v>пленочный режим</v>
      </c>
      <c r="K18" s="44">
        <f>'исходные данные'!Q19/2*'исходные данные'!Q19/2*3.1415</f>
        <v>962.08437500000002</v>
      </c>
      <c r="L18" s="26">
        <f>K18*'исходные данные'!T19/1000000</f>
        <v>1.2988139062499999</v>
      </c>
      <c r="M18" s="44">
        <f>100-'исходные данные'!G19/10/7.8</f>
        <v>61.53846153846154</v>
      </c>
      <c r="N18" s="44">
        <f>100-'исходные данные'!H19/L18/10/7.8</f>
        <v>61.503337961353921</v>
      </c>
      <c r="O18" s="26">
        <f>759.45/K18/100*M18*'исходные данные'!AA19/1000</f>
        <v>0.17002027099114481</v>
      </c>
      <c r="P18" s="26">
        <f>'исходные данные'!AA19/215</f>
        <v>1.6279069767441861</v>
      </c>
      <c r="Q18" s="27"/>
      <c r="R18" s="26">
        <f t="shared" si="5"/>
        <v>1.3023255813953489</v>
      </c>
      <c r="S18" s="25">
        <f>(P18-'исходные данные'!AH19/1000)/('исходные данные'!AH19/1000)</f>
        <v>4.4263565891472867</v>
      </c>
      <c r="T18" s="26">
        <f>(R18-'исходные данные'!AH19/1000)/('исходные данные'!AH19/1000)</f>
        <v>3.3410852713178296</v>
      </c>
      <c r="U18" s="25">
        <f>(P18-'исходные данные'!AI19/1000)/('исходные данные'!AI19/1000)</f>
        <v>18.151846785225718</v>
      </c>
      <c r="V18" s="131">
        <v>2730</v>
      </c>
      <c r="W18" s="132">
        <v>29</v>
      </c>
      <c r="X18" s="59" t="e">
        <f>'исходные данные'!O19+'исходные данные'!R19+'исходные данные'!J19</f>
        <v>#VALUE!</v>
      </c>
      <c r="Y18" s="59">
        <f>'исходные данные'!AA20/'исходные данные'!Q20</f>
        <v>27</v>
      </c>
      <c r="Z18" s="61">
        <f>'исходные данные'!AA20/'исходные данные'!AH20</f>
        <v>1.2272727272727273</v>
      </c>
      <c r="AA18" s="59">
        <f>'исходные данные'!T20/'исходные данные'!Q20</f>
        <v>29</v>
      </c>
      <c r="AB18" s="61">
        <f>'исходные данные'!T20/1000/L18</f>
        <v>1.1164031991207362</v>
      </c>
      <c r="AC18" s="61">
        <f>'исходные данные'!AH20/1000/L18</f>
        <v>0.84692656485021378</v>
      </c>
    </row>
    <row r="19" spans="1:29" ht="13.2" x14ac:dyDescent="0.25">
      <c r="A19" s="20" t="str">
        <f>'исходные данные'!A21</f>
        <v>alexeyT</v>
      </c>
      <c r="B19" s="23">
        <f>'исходные данные'!B21</f>
        <v>18</v>
      </c>
      <c r="C19" s="25">
        <f>5.128*'исходные данные'!G20/10000/0.2*L19</f>
        <v>8.0296347312499989</v>
      </c>
      <c r="D19" s="25">
        <f>2.03*L19</f>
        <v>5.7793782812499996</v>
      </c>
      <c r="E19" s="26">
        <f t="shared" si="0"/>
        <v>2.4251999999999998</v>
      </c>
      <c r="F19" s="26">
        <f>(R19-'исходные данные'!AH20/1000)*0.7365/K19*1000000</f>
        <v>1471.6424164134303</v>
      </c>
      <c r="G19" s="26">
        <f t="shared" si="6"/>
        <v>1884.2605924439888</v>
      </c>
      <c r="H19" s="27">
        <f t="shared" si="2"/>
        <v>4.2382239566566593</v>
      </c>
      <c r="I19" s="26">
        <f t="shared" si="3"/>
        <v>0.10583082253216801</v>
      </c>
      <c r="J19" s="40" t="str">
        <f t="shared" si="4"/>
        <v>пленочный режим</v>
      </c>
      <c r="K19" s="44">
        <f>'исходные данные'!Q20/2*'исходные данные'!Q20/2*3.1415</f>
        <v>1963.4375</v>
      </c>
      <c r="L19" s="26">
        <f>K19*'исходные данные'!T20/1000000</f>
        <v>2.8469843749999999</v>
      </c>
      <c r="M19" s="44">
        <f>100-'исходные данные'!G20/10/7.8</f>
        <v>85.897435897435898</v>
      </c>
      <c r="N19" s="44">
        <f>100-'исходные данные'!H20/L19/10/7.8</f>
        <v>85.905013922598314</v>
      </c>
      <c r="O19" s="26">
        <f>759.45/K19/100*M19*'исходные данные'!AA20/1000</f>
        <v>0.44853472740851386</v>
      </c>
      <c r="P19" s="26">
        <f>'исходные данные'!AA20/215</f>
        <v>6.2790697674418601</v>
      </c>
      <c r="Q19" s="27"/>
      <c r="R19" s="26">
        <f t="shared" si="5"/>
        <v>5.0232558139534884</v>
      </c>
      <c r="S19" s="25">
        <f>(P19-'исходные данные'!AH20/1000)/('исходные данные'!AH20/1000)</f>
        <v>4.708245243128963</v>
      </c>
      <c r="T19" s="26">
        <f>(R19-'исходные данные'!AH20/1000)/('исходные данные'!AH20/1000)</f>
        <v>3.566596194503171</v>
      </c>
      <c r="U19" s="25">
        <f>(P19-'исходные данные'!AI20/1000)/('исходные данные'!AI20/1000)</f>
        <v>72.871409028727754</v>
      </c>
      <c r="V19" s="63"/>
      <c r="W19" s="64"/>
      <c r="X19" s="59" t="e">
        <f>'исходные данные'!O20+'исходные данные'!R20+'исходные данные'!J20</f>
        <v>#VALUE!</v>
      </c>
      <c r="Y19" s="59">
        <f>'исходные данные'!AA21/'исходные данные'!Q21</f>
        <v>29.72972972972973</v>
      </c>
      <c r="Z19" s="61">
        <f>'исходные данные'!AA21/'исходные данные'!AH21</f>
        <v>1.2222222222222223</v>
      </c>
      <c r="AA19" s="59">
        <f>'исходные данные'!T21/'исходные данные'!Q21</f>
        <v>39.189189189189186</v>
      </c>
      <c r="AB19" s="61">
        <f>'исходные данные'!T21/1000/L19</f>
        <v>0.50931083877128758</v>
      </c>
      <c r="AC19" s="61">
        <f>'исходные данные'!AH21/1000/L19</f>
        <v>0.31612396889252337</v>
      </c>
    </row>
    <row r="20" spans="1:29" ht="13.2" x14ac:dyDescent="0.25">
      <c r="A20" s="20" t="str">
        <f>'исходные данные'!A24</f>
        <v>alexeyT</v>
      </c>
      <c r="B20" s="23">
        <f>'исходные данные'!B24</f>
        <v>19</v>
      </c>
      <c r="C20" s="25">
        <f>5.128*'исходные данные'!G21/10000/0.2*L20</f>
        <v>4.7967577950900004</v>
      </c>
      <c r="D20" s="25">
        <f>1.66*L20</f>
        <v>2.5879543486250003</v>
      </c>
      <c r="E20" s="26">
        <f t="shared" si="0"/>
        <v>2.3684000000000003</v>
      </c>
      <c r="F20" s="26">
        <f>(R20-'исходные данные'!AH21/1000)*0.7365/K20*1000000</f>
        <v>2187.2292845426482</v>
      </c>
      <c r="G20" s="26">
        <f t="shared" si="6"/>
        <v>2803.7316393263372</v>
      </c>
      <c r="H20" s="27">
        <f t="shared" si="2"/>
        <v>4.1941603820612521</v>
      </c>
      <c r="I20" s="26">
        <f t="shared" si="3"/>
        <v>0.15675292374103889</v>
      </c>
      <c r="J20" s="40" t="str">
        <f t="shared" si="4"/>
        <v>пленочный режим</v>
      </c>
      <c r="K20" s="44">
        <f>'исходные данные'!Q21/2*'исходные данные'!Q21/2*3.1415</f>
        <v>1075.178375</v>
      </c>
      <c r="L20" s="26">
        <f>K20*'исходные данные'!T21/1000000</f>
        <v>1.5590086437500001</v>
      </c>
      <c r="M20" s="44">
        <f>100-'исходные данные'!G21/10/7.8</f>
        <v>84.615384615384613</v>
      </c>
      <c r="N20" s="44">
        <f>100-'исходные данные'!H21/L20/10/7.8</f>
        <v>100</v>
      </c>
      <c r="O20" s="26">
        <f>759.45/K20/100*M20*'исходные данные'!AA21/1000</f>
        <v>0.65744690252693394</v>
      </c>
      <c r="P20" s="26">
        <f>'исходные данные'!AA21/215</f>
        <v>5.1162790697674421</v>
      </c>
      <c r="Q20" s="27"/>
      <c r="R20" s="26">
        <f t="shared" si="5"/>
        <v>4.0930232558139537</v>
      </c>
      <c r="S20" s="25">
        <f>(P20-'исходные данные'!AH21/1000)/('исходные данные'!AH21/1000)</f>
        <v>4.684754521963824</v>
      </c>
      <c r="T20" s="26">
        <f>(R20-'исходные данные'!AH21/1000)/('исходные данные'!AH21/1000)</f>
        <v>3.5478036175710597</v>
      </c>
      <c r="U20" s="25">
        <f>(P20-'исходные данные'!AI21/1000)/('исходные данные'!AI21/1000)</f>
        <v>67.217054263565899</v>
      </c>
      <c r="V20" s="63"/>
      <c r="W20" s="64"/>
      <c r="X20" s="59" t="e">
        <f>'исходные данные'!O21+'исходные данные'!R21+'исходные данные'!J21</f>
        <v>#VALUE!</v>
      </c>
      <c r="Y20" s="59">
        <f>'исходные данные'!AA22/'исходные данные'!Q22</f>
        <v>28.571428571428573</v>
      </c>
      <c r="Z20" s="61">
        <f>'исходные данные'!AA24/'исходные данные'!AH24</f>
        <v>1.6666666666666667</v>
      </c>
      <c r="AA20" s="59">
        <f>'исходные данные'!T24/'исходные данные'!Q24</f>
        <v>41.428571428571431</v>
      </c>
      <c r="AB20" s="61">
        <f>'исходные данные'!T24/1000/L20</f>
        <v>0.93007823004252654</v>
      </c>
      <c r="AC20" s="61">
        <f>'исходные данные'!AH24/1000/L20</f>
        <v>0.38485995725897648</v>
      </c>
    </row>
    <row r="21" spans="1:29" ht="13.2" x14ac:dyDescent="0.25">
      <c r="A21" s="20" t="str">
        <f>'исходные данные'!A22</f>
        <v>Alexey624</v>
      </c>
      <c r="B21" s="23">
        <f>'исходные данные'!B22</f>
        <v>20</v>
      </c>
      <c r="C21" s="25"/>
      <c r="D21" s="25"/>
      <c r="E21" s="26">
        <f t="shared" si="0"/>
        <v>0</v>
      </c>
      <c r="F21" s="26">
        <f>(R21-'исходные данные'!AH24/1000)*0.7365/K21*1000000</f>
        <v>2389.1512802908478</v>
      </c>
      <c r="G21" s="26">
        <f t="shared" si="6"/>
        <v>2848.4665040725458</v>
      </c>
      <c r="H21" s="27" t="e">
        <f t="shared" si="2"/>
        <v>#DIV/0!</v>
      </c>
      <c r="I21" s="26" t="e">
        <f t="shared" si="3"/>
        <v>#DIV/0!</v>
      </c>
      <c r="J21" s="40" t="e">
        <f t="shared" si="4"/>
        <v>#DIV/0!</v>
      </c>
      <c r="K21" s="44">
        <f>'исходные данные'!Q24/2*'исходные данные'!Q24/2*3.1415</f>
        <v>962.08437500000002</v>
      </c>
      <c r="L21" s="26">
        <f>K21*'исходные данные'!T24/1000000</f>
        <v>1.39502234375</v>
      </c>
      <c r="M21" s="44">
        <f>100-'исходные данные'!G24/10/7.8</f>
        <v>88.461538461538467</v>
      </c>
      <c r="N21" s="44">
        <f>100-'исходные данные'!H24/L21/10/7.8</f>
        <v>100</v>
      </c>
      <c r="O21" s="26">
        <f>759.45/K21/100*M21*'исходные данные'!AA24/1000</f>
        <v>0.69829754157077328</v>
      </c>
      <c r="P21" s="26">
        <f>'исходные данные'!AA24/215</f>
        <v>4.6511627906976747</v>
      </c>
      <c r="Q21" s="27"/>
      <c r="R21" s="26">
        <f t="shared" si="5"/>
        <v>3.7209302325581399</v>
      </c>
      <c r="S21" s="25">
        <f>(P21-'исходные данные'!AH24/1000)/('исходные данные'!AH24/1000)</f>
        <v>6.7519379844961254</v>
      </c>
      <c r="T21" s="26">
        <f>(R21-'исходные данные'!AH24/1000)/('исходные данные'!AH24/1000)</f>
        <v>5.2015503875968996</v>
      </c>
      <c r="U21" s="25">
        <f>(P21-'исходные данные'!AI24/1000)/('исходные данные'!AI24/1000)</f>
        <v>61.015503875968996</v>
      </c>
      <c r="V21" s="63"/>
      <c r="W21" s="64"/>
      <c r="X21" s="59" t="e">
        <f>'исходные данные'!O24+'исходные данные'!R24+'исходные данные'!J24</f>
        <v>#VALUE!</v>
      </c>
      <c r="Y21" s="59">
        <f>'исходные данные'!AA23/'исходные данные'!Q23</f>
        <v>13.235294117647058</v>
      </c>
      <c r="Z21" s="61">
        <f>'исходные данные'!AA22/'исходные данные'!AH22</f>
        <v>1.6666666666666667</v>
      </c>
      <c r="AA21" s="59">
        <f>'исходные данные'!T22/'исходные данные'!Q22</f>
        <v>28.571428571428573</v>
      </c>
      <c r="AB21" s="61">
        <f>'исходные данные'!T22/1000/L21</f>
        <v>0.71683439658168557</v>
      </c>
      <c r="AC21" s="61">
        <f>'исходные данные'!AH22/1000/L21</f>
        <v>0.43010063794901132</v>
      </c>
    </row>
    <row r="22" spans="1:29" ht="13.2" x14ac:dyDescent="0.25">
      <c r="A22" s="20" t="str">
        <f>'исходные данные'!A23</f>
        <v>Vladl</v>
      </c>
      <c r="B22" s="23">
        <f>'исходные данные'!B23</f>
        <v>21</v>
      </c>
      <c r="C22" s="25">
        <f>5.128*'исходные данные'!G22/10000/0.2*L22</f>
        <v>0</v>
      </c>
      <c r="D22" s="25">
        <f t="shared" ref="D22:D23" si="7">1.66*L22</f>
        <v>1.5970600625</v>
      </c>
      <c r="E22" s="26">
        <f t="shared" si="0"/>
        <v>0.83</v>
      </c>
      <c r="F22" s="26">
        <f>(R22-'исходные данные'!AH22/1000)*0.7365/K22*1000000</f>
        <v>2389.1512802908478</v>
      </c>
      <c r="G22" s="26">
        <f t="shared" si="6"/>
        <v>2848.4665040725458</v>
      </c>
      <c r="H22" s="27">
        <f t="shared" si="2"/>
        <v>8.9566722297504313</v>
      </c>
      <c r="I22" s="26">
        <f t="shared" si="3"/>
        <v>8.8133160324851925E-2</v>
      </c>
      <c r="J22" s="40" t="str">
        <f t="shared" si="4"/>
        <v>пленочный режим</v>
      </c>
      <c r="K22" s="44">
        <f>'исходные данные'!Q22/2*'исходные данные'!Q22/2*3.1415</f>
        <v>962.08437500000002</v>
      </c>
      <c r="L22" s="26">
        <f>K22*'исходные данные'!T22/1000000</f>
        <v>0.96208437499999999</v>
      </c>
      <c r="M22" s="44">
        <f>100-'исходные данные'!G22/10/7.8</f>
        <v>100</v>
      </c>
      <c r="N22" s="44">
        <f>100-'исходные данные'!H22/L22/10/7.8</f>
        <v>100</v>
      </c>
      <c r="O22" s="26">
        <f>759.45/K22/100*M22*'исходные данные'!AA22/1000</f>
        <v>0.78937982960174369</v>
      </c>
      <c r="P22" s="26">
        <f>'исходные данные'!AA22/215</f>
        <v>4.6511627906976747</v>
      </c>
      <c r="Q22" s="27"/>
      <c r="R22" s="26">
        <f t="shared" si="5"/>
        <v>3.7209302325581399</v>
      </c>
      <c r="S22" s="25">
        <f>(P22-'исходные данные'!AH22/1000)/('исходные данные'!AH22/1000)</f>
        <v>6.7519379844961254</v>
      </c>
      <c r="T22" s="26">
        <f>(R22-'исходные данные'!AH22/1000)/('исходные данные'!AH22/1000)</f>
        <v>5.2015503875968996</v>
      </c>
      <c r="U22" s="25">
        <f>(P22-'исходные данные'!AI22/1000)/('исходные данные'!AI22/1000)</f>
        <v>92.023255813953497</v>
      </c>
      <c r="V22" s="131">
        <v>1870</v>
      </c>
      <c r="W22" s="132">
        <v>26</v>
      </c>
      <c r="X22" s="59" t="e">
        <f>'исходные данные'!O22+'исходные данные'!R22+'исходные данные'!J22</f>
        <v>#VALUE!</v>
      </c>
      <c r="Y22" s="59">
        <f>'исходные данные'!AA24/'исходные данные'!Q24</f>
        <v>28.571428571428573</v>
      </c>
      <c r="Z22" s="61">
        <f>'исходные данные'!AA23/'исходные данные'!AH23</f>
        <v>2.25</v>
      </c>
      <c r="AA22" s="59">
        <f>'исходные данные'!T23/'исходные данные'!Q23</f>
        <v>44.117647058823529</v>
      </c>
      <c r="AB22" s="61">
        <f>'исходные данные'!T23/1000/L22</f>
        <v>1.5591148125651662</v>
      </c>
      <c r="AC22" s="61">
        <f>'исходные данные'!AH23/1000/L22</f>
        <v>0.20788197500868882</v>
      </c>
    </row>
    <row r="23" spans="1:29" ht="13.2" x14ac:dyDescent="0.25">
      <c r="A23" s="20" t="str">
        <f>'исходные данные'!A25</f>
        <v>imidalv</v>
      </c>
      <c r="B23" s="23">
        <f>'исходные данные'!B25</f>
        <v>22</v>
      </c>
      <c r="C23" s="25">
        <f>5.128*'исходные данные'!G23/10000/0.2*L23</f>
        <v>3.4917584010000002</v>
      </c>
      <c r="D23" s="25">
        <f t="shared" si="7"/>
        <v>2.2606548149999997</v>
      </c>
      <c r="E23" s="26">
        <f t="shared" si="0"/>
        <v>2.1120000000000001</v>
      </c>
      <c r="F23" s="26">
        <f>(R23-'исходные данные'!AH23/1000)*0.7365/K23*1000000</f>
        <v>1196.0756435920971</v>
      </c>
      <c r="G23" s="26">
        <f t="shared" si="6"/>
        <v>1358.3193428806148</v>
      </c>
      <c r="H23" s="27">
        <f t="shared" si="2"/>
        <v>4.5204514580642172</v>
      </c>
      <c r="I23" s="26">
        <f t="shared" si="3"/>
        <v>7.259543190282737E-2</v>
      </c>
      <c r="J23" s="40" t="str">
        <f t="shared" si="4"/>
        <v>пленочный режим</v>
      </c>
      <c r="K23" s="44">
        <f>'исходные данные'!Q23/2*'исходные данные'!Q23/2*3.1415</f>
        <v>907.89350000000002</v>
      </c>
      <c r="L23" s="26">
        <f>K23*'исходные данные'!T23/1000000</f>
        <v>1.36184025</v>
      </c>
      <c r="M23" s="44">
        <f>100-'исходные данные'!G23/10/7.8</f>
        <v>87.179487179487182</v>
      </c>
      <c r="N23" s="44">
        <f>100-'исходные данные'!H23/L23/10/7.8</f>
        <v>100</v>
      </c>
      <c r="O23" s="26">
        <f>759.45/K23/100*M23*'исходные данные'!AA23/1000</f>
        <v>0.32816412599393757</v>
      </c>
      <c r="P23" s="26">
        <f>'исходные данные'!AA23/215</f>
        <v>2.0930232558139537</v>
      </c>
      <c r="Q23" s="27"/>
      <c r="R23" s="26">
        <f t="shared" si="5"/>
        <v>1.6744186046511631</v>
      </c>
      <c r="S23" s="25">
        <f>(P23-'исходные данные'!AH23/1000)/('исходные данные'!AH23/1000)</f>
        <v>9.4651162790697683</v>
      </c>
      <c r="T23" s="26">
        <f>(R23-'исходные данные'!AH23/1000)/('исходные данные'!AH23/1000)</f>
        <v>7.3720930232558155</v>
      </c>
      <c r="U23" s="25">
        <f>(P23-'исходные данные'!AI23/1000)/('исходные данные'!AI23/1000)</f>
        <v>94.137420718816088</v>
      </c>
      <c r="V23" s="63"/>
      <c r="W23" s="64"/>
      <c r="X23" s="59" t="e">
        <f>'исходные данные'!O23+'исходные данные'!R23+'исходные данные'!J23</f>
        <v>#VALUE!</v>
      </c>
      <c r="Y23" s="59">
        <f>'исходные данные'!AA25/'исходные данные'!Q25</f>
        <v>34</v>
      </c>
      <c r="Z23" s="61">
        <f>'исходные данные'!AA25/'исходные данные'!AH25</f>
        <v>1.1333333333333333</v>
      </c>
      <c r="AA23" s="59">
        <f>'исходные данные'!T25/'исходные данные'!Q25</f>
        <v>30</v>
      </c>
      <c r="AB23" s="61">
        <f>'исходные данные'!T25/1000/L23</f>
        <v>1.1014507758894627</v>
      </c>
      <c r="AC23" s="61">
        <f>'исходные данные'!AH25/1000/L23</f>
        <v>1.1014507758894627</v>
      </c>
    </row>
    <row r="24" spans="1:29" ht="13.2" x14ac:dyDescent="0.25">
      <c r="A24" s="20" t="str">
        <f>'исходные данные'!A26</f>
        <v>Fdsa2005</v>
      </c>
      <c r="B24" s="23">
        <f>'исходные данные'!B26</f>
        <v>23</v>
      </c>
      <c r="C24" s="25">
        <f>5.128*'исходные данные'!G25/10000/0.2*L24</f>
        <v>6.7962425624999998</v>
      </c>
      <c r="D24" s="25">
        <f>2.03*L24</f>
        <v>5.9786671875000001</v>
      </c>
      <c r="E24" s="26">
        <f t="shared" si="0"/>
        <v>2.1687999999999996</v>
      </c>
      <c r="F24" s="26">
        <f>(R24-'исходные данные'!AH25/1000)*0.7365/K24*1000000</f>
        <v>1810.1114487598506</v>
      </c>
      <c r="G24" s="26">
        <f t="shared" si="6"/>
        <v>2372.7725978924309</v>
      </c>
      <c r="H24" s="27">
        <f t="shared" si="2"/>
        <v>4.7082357632085223</v>
      </c>
      <c r="I24" s="26">
        <f t="shared" si="3"/>
        <v>0.1235456084578176</v>
      </c>
      <c r="J24" s="40" t="str">
        <f t="shared" si="4"/>
        <v>пленочный режим</v>
      </c>
      <c r="K24" s="44">
        <f>'исходные данные'!Q25/2*'исходные данные'!Q25/2*3.1415</f>
        <v>1963.4375</v>
      </c>
      <c r="L24" s="26">
        <f>K24*'исходные данные'!T25/1000000</f>
        <v>2.9451562500000001</v>
      </c>
      <c r="M24" s="44">
        <f>100-'исходные данные'!G25/10/7.8</f>
        <v>88.461538461538467</v>
      </c>
      <c r="N24" s="44">
        <f>100-'исходные данные'!H25/L24/10/7.8</f>
        <v>100</v>
      </c>
      <c r="O24" s="26">
        <f>759.45/K24/100*M24*'исходные данные'!AA25/1000</f>
        <v>0.58168185212845414</v>
      </c>
      <c r="P24" s="26">
        <f>'исходные данные'!AA25/215</f>
        <v>7.9069767441860463</v>
      </c>
      <c r="Q24" s="27"/>
      <c r="R24" s="26">
        <f t="shared" si="5"/>
        <v>6.3255813953488378</v>
      </c>
      <c r="S24" s="25">
        <f>(P24-'исходные данные'!AH25/1000)/('исходные данные'!AH25/1000)</f>
        <v>4.2713178294573639</v>
      </c>
      <c r="T24" s="26">
        <f>(R24-'исходные данные'!AH25/1000)/('исходные данные'!AH25/1000)</f>
        <v>3.2170542635658919</v>
      </c>
      <c r="U24" s="25">
        <f>(P24-'исходные данные'!AI25/1000)/('исходные данные'!AI25/1000)</f>
        <v>157.13953488372093</v>
      </c>
      <c r="V24" s="63"/>
      <c r="W24" s="64"/>
      <c r="X24" s="59">
        <f>'исходные данные'!O25+'исходные данные'!R25+'исходные данные'!J25</f>
        <v>2500</v>
      </c>
      <c r="Y24" s="59">
        <f>'исходные данные'!AA26/'исходные данные'!Q26</f>
        <v>32.432432432432435</v>
      </c>
      <c r="Z24" s="61">
        <f>'исходные данные'!AA26/'исходные данные'!AH26</f>
        <v>1.7142857142857142</v>
      </c>
      <c r="AA24" s="59">
        <f>'исходные данные'!T26/'исходные данные'!Q26</f>
        <v>37.837837837837839</v>
      </c>
      <c r="AB24" s="61">
        <f>'исходные данные'!T26/1000/L24</f>
        <v>0.47535678285320171</v>
      </c>
      <c r="AC24" s="61">
        <f>'исходные данные'!AH26/1000/L24</f>
        <v>0.23767839142660085</v>
      </c>
    </row>
    <row r="25" spans="1:29" ht="13.2" x14ac:dyDescent="0.25">
      <c r="A25" s="20" t="str">
        <f>'исходные данные'!A27</f>
        <v>Dimassik</v>
      </c>
      <c r="B25" s="23">
        <f>'исходные данные'!B27</f>
        <v>24</v>
      </c>
      <c r="C25" s="25" t="e">
        <f>5.128*'исходные данные'!G26/10000/'исходные данные'!F26*L25</f>
        <v>#DIV/0!</v>
      </c>
      <c r="D25" s="25">
        <f>2.01*L25</f>
        <v>3.0255519472499994</v>
      </c>
      <c r="E25" s="26" t="e">
        <f t="shared" si="0"/>
        <v>#DIV/0!</v>
      </c>
      <c r="F25" s="26">
        <f>(R25-'исходные данные'!AH26/1000)*0.7365/K25*1000000</f>
        <v>2579.1145023121244</v>
      </c>
      <c r="G25" s="26">
        <f t="shared" si="6"/>
        <v>3058.6163338105493</v>
      </c>
      <c r="H25" s="27" t="e">
        <f t="shared" si="2"/>
        <v>#DIV/0!</v>
      </c>
      <c r="I25" s="26" t="e">
        <f t="shared" si="3"/>
        <v>#DIV/0!</v>
      </c>
      <c r="J25" s="40" t="e">
        <f t="shared" si="4"/>
        <v>#DIV/0!</v>
      </c>
      <c r="K25" s="44">
        <f>'исходные данные'!Q26/2*'исходные данные'!Q26/2*3.1415</f>
        <v>1075.178375</v>
      </c>
      <c r="L25" s="26">
        <f>K25*'исходные данные'!T26/1000000</f>
        <v>1.5052497249999999</v>
      </c>
      <c r="M25" s="44">
        <f>100-'исходные данные'!G26/10/7.8</f>
        <v>84.615384615384613</v>
      </c>
      <c r="N25" s="44">
        <f>100-'исходные данные'!H26/L25/10/7.8</f>
        <v>100</v>
      </c>
      <c r="O25" s="26">
        <f>759.45/K25/100*M25*'исходные данные'!AA26/1000</f>
        <v>0.71721480275665517</v>
      </c>
      <c r="P25" s="26">
        <f>'исходные данные'!AA26/215</f>
        <v>5.5813953488372094</v>
      </c>
      <c r="Q25" s="27"/>
      <c r="R25" s="26">
        <f t="shared" si="5"/>
        <v>4.4651162790697674</v>
      </c>
      <c r="S25" s="25">
        <f>(P25-'исходные данные'!AH26/1000)/('исходные данные'!AH26/1000)</f>
        <v>6.9734219269102997</v>
      </c>
      <c r="T25" s="26">
        <f>(R25-'исходные данные'!AH26/1000)/('исходные данные'!AH26/1000)</f>
        <v>5.3787375415282392</v>
      </c>
      <c r="U25" s="25">
        <f>(P25-'исходные данные'!AI26/1000)/('исходные данные'!AI26/1000)</f>
        <v>54.813953488372093</v>
      </c>
      <c r="V25" s="63"/>
      <c r="W25" s="64"/>
      <c r="X25" s="59" t="e">
        <f>'исходные данные'!O26+'исходные данные'!R26+'исходные данные'!J26</f>
        <v>#VALUE!</v>
      </c>
      <c r="Y25" s="59">
        <f>'исходные данные'!AA27/'исходные данные'!Q27</f>
        <v>16.75</v>
      </c>
      <c r="Z25" s="61">
        <f>'исходные данные'!AA27/'исходные данные'!AH27</f>
        <v>1.1166666666666667</v>
      </c>
      <c r="AA25" s="59">
        <f>'исходные данные'!T27/'исходные данные'!Q27</f>
        <v>39.5</v>
      </c>
      <c r="AB25" s="61">
        <f>'исходные данные'!T27/1000/L25</f>
        <v>1.0496597167622803</v>
      </c>
      <c r="AC25" s="61">
        <f>'исходные данные'!AH27/1000/L25</f>
        <v>0.39860495573251142</v>
      </c>
    </row>
    <row r="26" spans="1:29" ht="13.2" x14ac:dyDescent="0.25">
      <c r="A26" s="20" t="str">
        <f>'исходные данные'!A28</f>
        <v>Dimassik</v>
      </c>
      <c r="B26" s="23">
        <f>'исходные данные'!B28</f>
        <v>25</v>
      </c>
      <c r="C26" s="25">
        <f>5.128*'исходные данные'!G28/10000/'исходные данные'!F28*L26</f>
        <v>6.4977151814318796</v>
      </c>
      <c r="D26" s="25">
        <f>1.98*L26</f>
        <v>5.8618415567249995</v>
      </c>
      <c r="E26" s="26">
        <f t="shared" si="0"/>
        <v>2.0873919999999999</v>
      </c>
      <c r="F26" s="26">
        <f>(R26-'исходные данные'!AH28/1000)*0.7365/K26*1000000</f>
        <v>1812.0824858497222</v>
      </c>
      <c r="G26" s="26">
        <f t="shared" si="6"/>
        <v>2397.9437406733159</v>
      </c>
      <c r="H26" s="27">
        <f t="shared" si="2"/>
        <v>4.6325093586303785</v>
      </c>
      <c r="I26" s="26">
        <f t="shared" si="3"/>
        <v>0.12377075896474682</v>
      </c>
      <c r="J26" s="40" t="str">
        <f t="shared" si="4"/>
        <v>пленочный режим</v>
      </c>
      <c r="K26" s="44">
        <f>'исходные данные'!Q28/2*'исходные данные'!Q28/2*3.1415</f>
        <v>1885.685375</v>
      </c>
      <c r="L26" s="26">
        <f>K26*'исходные данные'!T28/1000000</f>
        <v>2.9605260387499999</v>
      </c>
      <c r="M26" s="44">
        <f>100-'исходные данные'!G28/10/7.8</f>
        <v>86.282051282051285</v>
      </c>
      <c r="N26" s="44">
        <f>100-'исходные данные'!H28/L26/10/7.8</f>
        <v>86.142448845691305</v>
      </c>
      <c r="O26" s="26">
        <f>759.45/K26/100*M26*'исходные данные'!AA28/1000</f>
        <v>0.57336919922897445</v>
      </c>
      <c r="P26" s="26">
        <f>'исходные данные'!AA28/215</f>
        <v>7.6744186046511631</v>
      </c>
      <c r="Q26" s="27"/>
      <c r="R26" s="26">
        <f t="shared" si="5"/>
        <v>6.1395348837209305</v>
      </c>
      <c r="S26" s="25">
        <f>(P26-'исходные данные'!AH28/1000)/('исходные данные'!AH28/1000)</f>
        <v>4.1162790697674421</v>
      </c>
      <c r="T26" s="26">
        <f>(R26-'исходные данные'!AH28/1000)/('исходные данные'!AH28/1000)</f>
        <v>3.0930232558139537</v>
      </c>
      <c r="U26" s="25">
        <f>(P26-'исходные данные'!AI28/1000)/('исходные данные'!AI28/1000)</f>
        <v>101.32558139534885</v>
      </c>
      <c r="V26" s="63"/>
      <c r="W26" s="64"/>
      <c r="X26" s="59" t="e">
        <f>'исходные данные'!O28+'исходные данные'!R28+'исходные данные'!J28</f>
        <v>#VALUE!</v>
      </c>
      <c r="Y26" s="59">
        <f>'исходные данные'!AA28/'исходные данные'!Q28</f>
        <v>33.673469387755105</v>
      </c>
      <c r="Z26" s="61">
        <f>'исходные данные'!AA28/'исходные данные'!AH28</f>
        <v>1.1000000000000001</v>
      </c>
      <c r="AA26" s="59">
        <f>'исходные данные'!T28/'исходные данные'!Q28</f>
        <v>32.04081632653061</v>
      </c>
      <c r="AB26" s="61">
        <f>'исходные данные'!T28/1000/L26</f>
        <v>0.53031116073645113</v>
      </c>
      <c r="AC26" s="61">
        <f>'исходные данные'!AH28/1000/L26</f>
        <v>0.50666671407941188</v>
      </c>
    </row>
    <row r="27" spans="1:29" ht="13.2" x14ac:dyDescent="0.25">
      <c r="A27" s="20" t="str">
        <f>'исходные данные'!A29</f>
        <v>VitalKa73</v>
      </c>
      <c r="B27" s="23">
        <f>'исходные данные'!B29</f>
        <v>26</v>
      </c>
      <c r="C27" s="25">
        <f>5.128*'исходные данные'!G29/10000/'исходные данные'!F29*L27</f>
        <v>6.0411044999999994</v>
      </c>
      <c r="D27" s="25">
        <f>1.37*L27</f>
        <v>4.3038550000000004</v>
      </c>
      <c r="E27" s="159">
        <f t="shared" si="0"/>
        <v>1.6464999999999999</v>
      </c>
      <c r="F27" s="160">
        <f>(R27-'исходные данные'!AH29/1000)*0.7365/K27*1000000</f>
        <v>2033.4312226791378</v>
      </c>
      <c r="G27" s="160">
        <f t="shared" si="6"/>
        <v>2596.0923718117178</v>
      </c>
      <c r="H27" s="161">
        <f t="shared" si="2"/>
        <v>5.5484611496918674</v>
      </c>
      <c r="I27" s="160">
        <f t="shared" si="3"/>
        <v>0.11719714014319438</v>
      </c>
      <c r="J27" s="162" t="str">
        <f t="shared" si="4"/>
        <v>пленочный режим</v>
      </c>
      <c r="K27" s="163">
        <f>'исходные данные'!Q29/2*'исходные данные'!Q29/2*3.1415</f>
        <v>1963.4375</v>
      </c>
      <c r="L27" s="160">
        <f>K27*'исходные данные'!T29/1000000</f>
        <v>3.1415000000000002</v>
      </c>
      <c r="M27" s="163">
        <f>100-'исходные данные'!G29/10/7.8</f>
        <v>90.384615384615387</v>
      </c>
      <c r="N27" s="163">
        <f>100-'исходные данные'!H29/L27/10/7.8</f>
        <v>89.797459159229021</v>
      </c>
      <c r="O27" s="160">
        <f>759.45/K27/100*M27*'исходные данные'!AA29/1000</f>
        <v>0.65026377893950715</v>
      </c>
      <c r="P27" s="164">
        <f>'исходные данные'!AA29/215</f>
        <v>8.6511627906976738</v>
      </c>
      <c r="Q27" s="27"/>
      <c r="R27" s="159">
        <f t="shared" si="5"/>
        <v>6.9209302325581392</v>
      </c>
      <c r="S27" s="165">
        <f>(P27-'исходные данные'!AH29/1000)/('исходные данные'!AH29/1000)</f>
        <v>4.7674418604651159</v>
      </c>
      <c r="T27" s="160">
        <f>(R27-'исходные данные'!AH29/1000)/('исходные данные'!AH29/1000)</f>
        <v>3.613953488372093</v>
      </c>
      <c r="U27" s="165">
        <f>(P27-'исходные данные'!AI29/1000)/('исходные данные'!AI29/1000)</f>
        <v>172.02325581395345</v>
      </c>
      <c r="V27" s="132">
        <v>2730</v>
      </c>
      <c r="W27" s="132">
        <v>39</v>
      </c>
      <c r="X27" s="59">
        <f>'исходные данные'!O29+'исходные данные'!R29+'исходные данные'!J29</f>
        <v>2000</v>
      </c>
      <c r="Y27" s="59">
        <f>'исходные данные'!AA29/'исходные данные'!Q29</f>
        <v>37.200000000000003</v>
      </c>
      <c r="Z27" s="61">
        <f>'исходные данные'!AA29/'исходные данные'!AH29</f>
        <v>1.24</v>
      </c>
      <c r="AA27" s="59">
        <f>'исходные данные'!T29/'исходные данные'!Q29</f>
        <v>32</v>
      </c>
      <c r="AB27" s="61">
        <f>'исходные данные'!T29/1000/L27</f>
        <v>0.50931083877128758</v>
      </c>
      <c r="AC27" s="61">
        <f>'исходные данные'!AH29/1000/L27</f>
        <v>0.47747891134808212</v>
      </c>
    </row>
    <row r="28" spans="1:29" ht="13.2" x14ac:dyDescent="0.25">
      <c r="A28" s="20" t="str">
        <f>'исходные данные'!A30</f>
        <v>svarnoy</v>
      </c>
      <c r="B28" s="23">
        <f>'исходные данные'!B30</f>
        <v>27</v>
      </c>
      <c r="C28" s="25">
        <f>5.128*'исходные данные'!G30/10000/'исходные данные'!F30*L28</f>
        <v>6.0411044999999994</v>
      </c>
      <c r="D28" s="25">
        <f>1.09*L28</f>
        <v>3.4242350000000004</v>
      </c>
      <c r="E28" s="159">
        <f t="shared" si="0"/>
        <v>1.5064999999999997</v>
      </c>
      <c r="F28" s="160">
        <f>(R28-'исходные данные'!AH30/1000)*0.7365/K28*1000000</f>
        <v>2024.7077940104166</v>
      </c>
      <c r="G28" s="160">
        <f t="shared" si="6"/>
        <v>2512.3474565919855</v>
      </c>
      <c r="H28" s="161">
        <f t="shared" si="2"/>
        <v>5.7640049939899498</v>
      </c>
      <c r="I28" s="160">
        <f t="shared" si="3"/>
        <v>0.10917539604183624</v>
      </c>
      <c r="J28" s="162" t="str">
        <f t="shared" si="4"/>
        <v>пленочный режим</v>
      </c>
      <c r="K28" s="163">
        <f>'исходные данные'!Q30/2*'исходные данные'!Q30/2*3.1415</f>
        <v>1963.4375</v>
      </c>
      <c r="L28" s="160">
        <f>K28*'исходные данные'!T30/1000000</f>
        <v>3.1415000000000002</v>
      </c>
      <c r="M28" s="163">
        <f>100-'исходные данные'!G30/10/7.8</f>
        <v>90.384615384615387</v>
      </c>
      <c r="N28" s="163">
        <f>100-'исходные данные'!H30/L28/10/7.8</f>
        <v>89.797459159229021</v>
      </c>
      <c r="O28" s="160">
        <f>759.45/K28/100*M28*'исходные данные'!AA30/1000</f>
        <v>0.62928752800597465</v>
      </c>
      <c r="P28" s="164">
        <f>'исходные данные'!AA30/215</f>
        <v>8.3720930232558146</v>
      </c>
      <c r="Q28" s="27"/>
      <c r="R28" s="159">
        <f t="shared" si="5"/>
        <v>6.6976744186046524</v>
      </c>
      <c r="S28" s="165">
        <f>(P28-'исходные данные'!AH30/1000)/('исходные данные'!AH30/1000)</f>
        <v>5.4400715563506266</v>
      </c>
      <c r="T28" s="160">
        <f>(R28-'исходные данные'!AH30/1000)/('исходные данные'!AH30/1000)</f>
        <v>4.1520572450805018</v>
      </c>
      <c r="U28" s="165" t="e">
        <f>(P28-'исходные данные'!AI30/1000)/('исходные данные'!AI30/1000)</f>
        <v>#VALUE!</v>
      </c>
      <c r="V28" s="64"/>
      <c r="W28" s="64"/>
      <c r="X28" s="59">
        <f>'исходные данные'!O30+'исходные данные'!R30+'исходные данные'!J30</f>
        <v>1910</v>
      </c>
      <c r="Y28" s="59">
        <f>'исходные данные'!AA30/'исходные данные'!Q30</f>
        <v>36</v>
      </c>
      <c r="Z28" s="61">
        <f>'исходные данные'!AA30/'исходные данные'!AH30</f>
        <v>1.3846153846153846</v>
      </c>
      <c r="AA28" s="59">
        <f>'исходные данные'!T30/'исходные данные'!Q30</f>
        <v>32</v>
      </c>
      <c r="AB28" s="61">
        <f>'исходные данные'!T30/1000/L28</f>
        <v>0.50931083877128758</v>
      </c>
      <c r="AC28" s="61">
        <f>'исходные данные'!AH30/1000/L28</f>
        <v>0.41381505650167116</v>
      </c>
    </row>
    <row r="29" spans="1:29" ht="13.2" x14ac:dyDescent="0.25">
      <c r="A29" s="20" t="str">
        <f>'исходные данные'!A31</f>
        <v>шахтер</v>
      </c>
      <c r="B29" s="23">
        <f>'исходные данные'!B31</f>
        <v>28</v>
      </c>
      <c r="C29" s="25">
        <f>5.128*'исходные данные'!G31/10000/'исходные данные'!F31*L29</f>
        <v>9.0213827200000001</v>
      </c>
      <c r="D29" s="25">
        <f>2.01*L29</f>
        <v>5.051531999999999</v>
      </c>
      <c r="E29" s="159">
        <f t="shared" si="0"/>
        <v>2.7998000000000003</v>
      </c>
      <c r="F29" s="160">
        <f>(R29-'исходные данные'!AH31/1000)*0.7365/K29*1000000</f>
        <v>975.27932516313876</v>
      </c>
      <c r="G29" s="160">
        <f t="shared" si="6"/>
        <v>1500.4297310202132</v>
      </c>
      <c r="H29" s="161">
        <f t="shared" si="2"/>
        <v>3.5215190756878854</v>
      </c>
      <c r="I29" s="160">
        <f t="shared" si="3"/>
        <v>9.1584356019930327E-2</v>
      </c>
      <c r="J29" s="162" t="str">
        <f t="shared" si="4"/>
        <v>пленочный режим</v>
      </c>
      <c r="K29" s="163">
        <f>'исходные данные'!Q31/2*'исходные данные'!Q31/2*3.1415</f>
        <v>1963.4375</v>
      </c>
      <c r="L29" s="160">
        <f>K29*'исходные данные'!T31/1000000</f>
        <v>2.5131999999999999</v>
      </c>
      <c r="M29" s="163">
        <f>100-'исходные данные'!G31/10/7.8</f>
        <v>77.564102564102569</v>
      </c>
      <c r="N29" s="163">
        <f>100-'исходные данные'!H31/L29/10/7.8</f>
        <v>100</v>
      </c>
      <c r="O29" s="160">
        <f>759.45/K29/100*M29*'исходные данные'!AA31/1000</f>
        <v>0.32251605675877526</v>
      </c>
      <c r="P29" s="164">
        <f>'исходные данные'!AA31/215</f>
        <v>5</v>
      </c>
      <c r="Q29" s="27"/>
      <c r="R29" s="159">
        <f t="shared" si="5"/>
        <v>4</v>
      </c>
      <c r="S29" s="165">
        <f>(P29-'исходные данные'!AH31/1000)/('исходные данные'!AH31/1000)</f>
        <v>2.5714285714285716</v>
      </c>
      <c r="T29" s="160">
        <f>(R29-'исходные данные'!AH31/1000)/('исходные данные'!AH31/1000)</f>
        <v>1.8571428571428574</v>
      </c>
      <c r="U29" s="165">
        <f>(P29-'исходные данные'!AI31/1000)/('исходные данные'!AI31/1000)</f>
        <v>32.333333333333336</v>
      </c>
      <c r="V29" s="64"/>
      <c r="W29" s="64"/>
      <c r="X29" s="59">
        <f>'исходные данные'!O31+'исходные данные'!R31+'исходные данные'!J31</f>
        <v>1900</v>
      </c>
      <c r="Y29" s="59">
        <f>'исходные данные'!AA31/'исходные данные'!Q31</f>
        <v>21.5</v>
      </c>
      <c r="Z29" s="61">
        <f>'исходные данные'!AA31/'исходные данные'!AH31</f>
        <v>0.7678571428571429</v>
      </c>
      <c r="AA29" s="59">
        <f>'исходные данные'!T31/'исходные данные'!Q31</f>
        <v>25.6</v>
      </c>
      <c r="AB29" s="61">
        <f>'исходные данные'!T31/1000/L29</f>
        <v>0.50931083877128769</v>
      </c>
      <c r="AC29" s="61">
        <f>'исходные данные'!AH31/1000/L29</f>
        <v>0.55705872990609584</v>
      </c>
    </row>
    <row r="30" spans="1:29" ht="13.2" x14ac:dyDescent="0.25">
      <c r="A30" s="20" t="str">
        <f>'исходные данные'!A32</f>
        <v>без N1</v>
      </c>
      <c r="B30" s="23">
        <f>'исходные данные'!B32</f>
        <v>29</v>
      </c>
      <c r="C30" s="25" t="e">
        <f>5.128*'исходные данные'!G32/10000/'исходные данные'!F32*L30</f>
        <v>#DIV/0!</v>
      </c>
      <c r="D30" s="25">
        <f>1.37*L30</f>
        <v>4.3038550000000004</v>
      </c>
      <c r="E30" s="159" t="e">
        <f t="shared" si="0"/>
        <v>#DIV/0!</v>
      </c>
      <c r="F30" s="160">
        <f>(R30-'исходные данные'!AH32/1000)*0.7365/K30*1000000</f>
        <v>-337.59668947954799</v>
      </c>
      <c r="G30" s="160">
        <f t="shared" si="6"/>
        <v>0</v>
      </c>
      <c r="H30" s="161" t="e">
        <f t="shared" si="2"/>
        <v>#DIV/0!</v>
      </c>
      <c r="I30" s="160" t="e">
        <f t="shared" si="3"/>
        <v>#DIV/0!</v>
      </c>
      <c r="J30" s="162" t="e">
        <f t="shared" si="4"/>
        <v>#DIV/0!</v>
      </c>
      <c r="K30" s="163">
        <f>'исходные данные'!Q32/2*'исходные данные'!Q32/2*3.1415</f>
        <v>1963.4375</v>
      </c>
      <c r="L30" s="160">
        <f>K30*'исходные данные'!T32/1000000</f>
        <v>3.1415000000000002</v>
      </c>
      <c r="M30" s="163">
        <f>100-'исходные данные'!G32/10/7.8</f>
        <v>61.53846153846154</v>
      </c>
      <c r="N30" s="163">
        <f>100-'исходные данные'!H32/L30/10/7.8</f>
        <v>100</v>
      </c>
      <c r="O30" s="160">
        <f>759.45/K30/100*M30*'исходные данные'!AA32/1000</f>
        <v>0</v>
      </c>
      <c r="P30" s="164">
        <f>'исходные данные'!AA32/215</f>
        <v>0</v>
      </c>
      <c r="Q30" s="27"/>
      <c r="R30" s="159">
        <f t="shared" si="5"/>
        <v>0</v>
      </c>
      <c r="S30" s="165">
        <f>(P30-'исходные данные'!AH32/1000)/('исходные данные'!AH32/1000)</f>
        <v>-1</v>
      </c>
      <c r="T30" s="160">
        <f>(R30-'исходные данные'!AH32/1000)/('исходные данные'!AH32/1000)</f>
        <v>-1</v>
      </c>
      <c r="U30" s="165" t="e">
        <f>(P30-'исходные данные'!AI32/1000)/('исходные данные'!AI32/1000)</f>
        <v>#DIV/0!</v>
      </c>
      <c r="V30" s="64"/>
      <c r="W30" s="64"/>
      <c r="X30" s="59">
        <f>'исходные данные'!O32+'исходные данные'!R32+'исходные данные'!J32</f>
        <v>0</v>
      </c>
      <c r="Y30" s="59">
        <f>'исходные данные'!AA32/'исходные данные'!Q32</f>
        <v>0</v>
      </c>
      <c r="Z30" s="61"/>
      <c r="AB30" s="61"/>
      <c r="AC30" s="61"/>
    </row>
    <row r="31" spans="1:29" ht="13.2" x14ac:dyDescent="0.25">
      <c r="A31" s="166"/>
      <c r="B31" s="23">
        <f>'исходные данные'!B33</f>
        <v>30</v>
      </c>
      <c r="C31" s="167" t="e">
        <f>5.128*'исходные данные'!G33/10000/'исходные данные'!F33*L31</f>
        <v>#DIV/0!</v>
      </c>
      <c r="D31" s="165"/>
      <c r="E31" s="160" t="e">
        <f t="shared" si="0"/>
        <v>#DIV/0!</v>
      </c>
      <c r="F31" s="160" t="e">
        <f>(R31-'исходные данные'!AH33/1000)*0.7365/K31*1000000</f>
        <v>#DIV/0!</v>
      </c>
      <c r="G31" s="160" t="e">
        <f t="shared" si="6"/>
        <v>#DIV/0!</v>
      </c>
      <c r="H31" s="161" t="e">
        <f t="shared" si="2"/>
        <v>#DIV/0!</v>
      </c>
      <c r="I31" s="160" t="e">
        <f t="shared" si="3"/>
        <v>#DIV/0!</v>
      </c>
      <c r="J31" s="162" t="e">
        <f t="shared" si="4"/>
        <v>#DIV/0!</v>
      </c>
      <c r="K31" s="163">
        <f>'исходные данные'!Q33/2*'исходные данные'!Q33/2*3.1415</f>
        <v>0</v>
      </c>
      <c r="L31" s="160">
        <f>K31*'исходные данные'!T33/1000000</f>
        <v>0</v>
      </c>
      <c r="M31" s="163">
        <f>100-'исходные данные'!G33/10/7.8</f>
        <v>100</v>
      </c>
      <c r="N31" s="163" t="e">
        <f>100-'исходные данные'!H33/L31/10/7.8</f>
        <v>#DIV/0!</v>
      </c>
      <c r="O31" s="160" t="e">
        <f>759.45/K31/100*M31*'исходные данные'!AA33/1000</f>
        <v>#DIV/0!</v>
      </c>
      <c r="P31" s="164">
        <f>'исходные данные'!AA33/215</f>
        <v>0</v>
      </c>
      <c r="Q31" s="27"/>
      <c r="R31" s="159">
        <f t="shared" si="5"/>
        <v>0</v>
      </c>
      <c r="S31" s="165" t="e">
        <f>(P31-'исходные данные'!AH33/1000)/('исходные данные'!AH33/1000)</f>
        <v>#DIV/0!</v>
      </c>
      <c r="T31" s="160" t="e">
        <f>(R31-'исходные данные'!AH33/1000)/('исходные данные'!AH33/1000)</f>
        <v>#DIV/0!</v>
      </c>
      <c r="U31" s="165" t="e">
        <f>(P31-'исходные данные'!AI33/1000)/('исходные данные'!AI33/1000)</f>
        <v>#DIV/0!</v>
      </c>
      <c r="V31" s="64"/>
      <c r="W31" s="64"/>
      <c r="X31" s="59">
        <f>'исходные данные'!O33+'исходные данные'!R33+'исходные данные'!J33</f>
        <v>0</v>
      </c>
      <c r="Y31" s="59" t="e">
        <f>'исходные данные'!AA33/'исходные данные'!Q33</f>
        <v>#DIV/0!</v>
      </c>
      <c r="Z31" s="61"/>
      <c r="AB31" s="61"/>
      <c r="AC31" s="61"/>
    </row>
    <row r="32" spans="1:29" ht="13.2" x14ac:dyDescent="0.25">
      <c r="A32" s="166"/>
      <c r="B32" s="23">
        <f>'исходные данные'!B34</f>
        <v>31</v>
      </c>
      <c r="C32" s="167" t="e">
        <f>5.128*'исходные данные'!G34/10000/'исходные данные'!F34*L32</f>
        <v>#DIV/0!</v>
      </c>
      <c r="D32" s="165"/>
      <c r="E32" s="160" t="e">
        <f t="shared" si="0"/>
        <v>#DIV/0!</v>
      </c>
      <c r="F32" s="160" t="e">
        <f>(R32-'исходные данные'!AH34/1000)*0.7365/K32*1000000</f>
        <v>#DIV/0!</v>
      </c>
      <c r="G32" s="160" t="e">
        <f t="shared" si="6"/>
        <v>#DIV/0!</v>
      </c>
      <c r="H32" s="161" t="e">
        <f t="shared" si="2"/>
        <v>#DIV/0!</v>
      </c>
      <c r="I32" s="160" t="e">
        <f t="shared" si="3"/>
        <v>#DIV/0!</v>
      </c>
      <c r="J32" s="162" t="e">
        <f t="shared" si="4"/>
        <v>#DIV/0!</v>
      </c>
      <c r="K32" s="163">
        <f>'исходные данные'!Q34/2*'исходные данные'!Q34/2*3.1415</f>
        <v>0</v>
      </c>
      <c r="L32" s="160">
        <f>K32*'исходные данные'!T34/1000000</f>
        <v>0</v>
      </c>
      <c r="M32" s="163">
        <f>100-'исходные данные'!G34/10/7.8</f>
        <v>100</v>
      </c>
      <c r="N32" s="163" t="e">
        <f>100-'исходные данные'!H34/L32/10/7.8</f>
        <v>#DIV/0!</v>
      </c>
      <c r="O32" s="160" t="e">
        <f>759.45/K32/100*M32*'исходные данные'!AA34/1000</f>
        <v>#DIV/0!</v>
      </c>
      <c r="P32" s="164">
        <f>'исходные данные'!AA34/215</f>
        <v>0</v>
      </c>
      <c r="Q32" s="27"/>
      <c r="R32" s="159">
        <f t="shared" si="5"/>
        <v>0</v>
      </c>
      <c r="S32" s="165" t="e">
        <f>(P32-'исходные данные'!AH34/1000)/('исходные данные'!AH34/1000)</f>
        <v>#DIV/0!</v>
      </c>
      <c r="T32" s="160" t="e">
        <f>(R32-'исходные данные'!AH34/1000)/('исходные данные'!AH34/1000)</f>
        <v>#DIV/0!</v>
      </c>
      <c r="U32" s="165" t="e">
        <f>(P32-'исходные данные'!AI34/1000)/('исходные данные'!AI34/1000)</f>
        <v>#DIV/0!</v>
      </c>
      <c r="V32" s="64"/>
      <c r="W32" s="64"/>
      <c r="X32" s="59">
        <f>'исходные данные'!O34+'исходные данные'!R34+'исходные данные'!J34</f>
        <v>0</v>
      </c>
      <c r="Y32" s="59" t="e">
        <f>'исходные данные'!AA34/'исходные данные'!Q34</f>
        <v>#DIV/0!</v>
      </c>
      <c r="Z32" s="61"/>
      <c r="AB32" s="61"/>
      <c r="AC32" s="61"/>
    </row>
    <row r="33" spans="1:29" ht="13.2" x14ac:dyDescent="0.25">
      <c r="A33" s="166"/>
      <c r="B33" s="23">
        <f>'исходные данные'!B35</f>
        <v>0</v>
      </c>
      <c r="C33" s="167"/>
      <c r="D33" s="165"/>
      <c r="E33" s="160"/>
      <c r="F33" s="160"/>
      <c r="G33" s="160"/>
      <c r="H33" s="161"/>
      <c r="I33" s="160"/>
      <c r="J33" s="168"/>
      <c r="K33" s="169"/>
      <c r="L33" s="170"/>
      <c r="M33" s="171"/>
      <c r="N33" s="171"/>
      <c r="O33" s="170"/>
      <c r="P33" s="155"/>
      <c r="Q33" s="26"/>
      <c r="R33" s="172"/>
      <c r="S33" s="173"/>
      <c r="T33" s="170"/>
      <c r="U33" s="70"/>
      <c r="V33" s="64"/>
      <c r="W33" s="64"/>
      <c r="Y33" s="59"/>
      <c r="Z33" s="61"/>
      <c r="AB33" s="61"/>
      <c r="AC33" s="61"/>
    </row>
    <row r="34" spans="1:29" ht="13.2" x14ac:dyDescent="0.25">
      <c r="A34" s="174"/>
      <c r="B34" s="175"/>
      <c r="C34" s="165"/>
      <c r="D34" s="165"/>
      <c r="E34" s="160"/>
      <c r="F34" s="160"/>
      <c r="G34" s="160"/>
      <c r="H34" s="161"/>
      <c r="I34" s="160"/>
      <c r="J34" s="168"/>
      <c r="K34" s="145"/>
      <c r="L34" s="136"/>
      <c r="M34" s="137"/>
      <c r="N34" s="137"/>
      <c r="O34" s="136"/>
      <c r="P34" s="136"/>
      <c r="Q34" s="170"/>
      <c r="R34" s="136"/>
      <c r="S34" s="176"/>
      <c r="T34" s="136"/>
      <c r="V34" s="64"/>
      <c r="W34" s="64"/>
      <c r="Y34" s="59"/>
      <c r="Z34" s="61"/>
      <c r="AB34" s="61"/>
      <c r="AC34" s="61"/>
    </row>
    <row r="35" spans="1:29" ht="13.2" x14ac:dyDescent="0.25">
      <c r="A35" s="174"/>
      <c r="B35" s="175"/>
      <c r="C35" s="165"/>
      <c r="D35" s="165"/>
      <c r="E35" s="160"/>
      <c r="F35" s="160"/>
      <c r="G35" s="160"/>
      <c r="H35" s="161"/>
      <c r="I35" s="160"/>
      <c r="J35" s="168"/>
      <c r="K35" s="145"/>
      <c r="L35" s="136"/>
      <c r="M35" s="137"/>
      <c r="N35" s="137"/>
      <c r="O35" s="136"/>
      <c r="P35" s="136"/>
      <c r="Q35" s="136"/>
      <c r="R35" s="136"/>
      <c r="S35" s="176"/>
      <c r="T35" s="136"/>
      <c r="V35" s="64"/>
      <c r="W35" s="64"/>
      <c r="Y35" s="59"/>
      <c r="Z35" s="61"/>
      <c r="AB35" s="61"/>
      <c r="AC35" s="61"/>
    </row>
    <row r="36" spans="1:29" ht="13.2" x14ac:dyDescent="0.25">
      <c r="A36" s="174"/>
      <c r="B36" s="175"/>
      <c r="C36" s="165"/>
      <c r="D36" s="165"/>
      <c r="E36" s="160"/>
      <c r="F36" s="160"/>
      <c r="G36" s="160"/>
      <c r="H36" s="161"/>
      <c r="I36" s="160"/>
      <c r="J36" s="168"/>
      <c r="K36" s="145"/>
      <c r="L36" s="136"/>
      <c r="M36" s="137"/>
      <c r="N36" s="137"/>
      <c r="O36" s="136"/>
      <c r="P36" s="136"/>
      <c r="Q36" s="136"/>
      <c r="R36" s="136"/>
      <c r="S36" s="176"/>
      <c r="T36" s="136"/>
      <c r="V36" s="64"/>
      <c r="W36" s="64"/>
      <c r="Y36" s="59"/>
      <c r="Z36" s="61"/>
      <c r="AB36" s="61"/>
      <c r="AC36" s="61"/>
    </row>
    <row r="37" spans="1:29" ht="13.2" x14ac:dyDescent="0.25">
      <c r="A37" s="174"/>
      <c r="B37" s="175"/>
      <c r="C37" s="165"/>
      <c r="D37" s="165"/>
      <c r="E37" s="160"/>
      <c r="F37" s="160"/>
      <c r="G37" s="160"/>
      <c r="H37" s="161"/>
      <c r="I37" s="160"/>
      <c r="J37" s="168"/>
      <c r="K37" s="145"/>
      <c r="L37" s="136"/>
      <c r="M37" s="137"/>
      <c r="N37" s="137"/>
      <c r="O37" s="136"/>
      <c r="P37" s="136"/>
      <c r="Q37" s="136"/>
      <c r="R37" s="136"/>
      <c r="S37" s="176"/>
      <c r="T37" s="136"/>
      <c r="V37" s="64"/>
      <c r="W37" s="64"/>
      <c r="Y37" s="59"/>
      <c r="Z37" s="61"/>
      <c r="AB37" s="61"/>
      <c r="AC37" s="61"/>
    </row>
    <row r="38" spans="1:29" ht="13.2" x14ac:dyDescent="0.25">
      <c r="A38" s="174"/>
      <c r="B38" s="175"/>
      <c r="C38" s="165"/>
      <c r="D38" s="165"/>
      <c r="E38" s="160"/>
      <c r="F38" s="160"/>
      <c r="G38" s="160"/>
      <c r="H38" s="161"/>
      <c r="I38" s="160"/>
      <c r="J38" s="168"/>
      <c r="K38" s="145"/>
      <c r="L38" s="136"/>
      <c r="M38" s="137"/>
      <c r="N38" s="137"/>
      <c r="O38" s="136"/>
      <c r="P38" s="136"/>
      <c r="Q38" s="136"/>
      <c r="R38" s="136"/>
      <c r="S38" s="176"/>
      <c r="T38" s="136"/>
      <c r="V38" s="64"/>
      <c r="W38" s="64"/>
      <c r="Y38" s="59"/>
      <c r="Z38" s="61"/>
      <c r="AB38" s="61"/>
      <c r="AC38" s="61"/>
    </row>
    <row r="39" spans="1:29" ht="13.2" x14ac:dyDescent="0.25">
      <c r="A39" s="174"/>
      <c r="B39" s="175"/>
      <c r="C39" s="165"/>
      <c r="D39" s="165"/>
      <c r="E39" s="160"/>
      <c r="F39" s="160"/>
      <c r="G39" s="160"/>
      <c r="H39" s="161"/>
      <c r="I39" s="160"/>
      <c r="J39" s="168"/>
      <c r="K39" s="145"/>
      <c r="L39" s="136"/>
      <c r="M39" s="137"/>
      <c r="N39" s="137"/>
      <c r="O39" s="136"/>
      <c r="P39" s="136"/>
      <c r="Q39" s="136"/>
      <c r="R39" s="136"/>
      <c r="S39" s="176"/>
      <c r="T39" s="136"/>
      <c r="V39" s="64"/>
      <c r="W39" s="64"/>
      <c r="Y39" s="59"/>
      <c r="Z39" s="61"/>
      <c r="AB39" s="61"/>
      <c r="AC39" s="61"/>
    </row>
    <row r="40" spans="1:29" ht="13.2" x14ac:dyDescent="0.25">
      <c r="A40" s="174"/>
      <c r="B40" s="175"/>
      <c r="C40" s="165"/>
      <c r="D40" s="165"/>
      <c r="E40" s="160"/>
      <c r="F40" s="160"/>
      <c r="G40" s="160"/>
      <c r="H40" s="161"/>
      <c r="I40" s="160"/>
      <c r="J40" s="168"/>
      <c r="K40" s="145"/>
      <c r="L40" s="136"/>
      <c r="M40" s="137"/>
      <c r="N40" s="137"/>
      <c r="O40" s="136"/>
      <c r="P40" s="136"/>
      <c r="Q40" s="136"/>
      <c r="R40" s="136"/>
      <c r="S40" s="176"/>
      <c r="T40" s="136"/>
      <c r="V40" s="64"/>
      <c r="W40" s="64"/>
      <c r="Y40" s="59"/>
      <c r="Z40" s="61"/>
      <c r="AB40" s="61"/>
      <c r="AC40" s="61"/>
    </row>
    <row r="41" spans="1:29" ht="13.2" x14ac:dyDescent="0.25">
      <c r="A41" s="174"/>
      <c r="B41" s="175"/>
      <c r="C41" s="165"/>
      <c r="D41" s="165"/>
      <c r="E41" s="160"/>
      <c r="F41" s="160"/>
      <c r="G41" s="160"/>
      <c r="H41" s="161"/>
      <c r="I41" s="160"/>
      <c r="J41" s="168"/>
      <c r="K41" s="145"/>
      <c r="L41" s="136"/>
      <c r="M41" s="137"/>
      <c r="N41" s="137"/>
      <c r="O41" s="136"/>
      <c r="P41" s="136"/>
      <c r="Q41" s="136"/>
      <c r="R41" s="136"/>
      <c r="S41" s="176"/>
      <c r="T41" s="136"/>
      <c r="V41" s="64"/>
      <c r="W41" s="64"/>
      <c r="Y41" s="59"/>
      <c r="Z41" s="61"/>
      <c r="AB41" s="61"/>
      <c r="AC41" s="61"/>
    </row>
    <row r="42" spans="1:29" ht="13.2" x14ac:dyDescent="0.25">
      <c r="A42" s="174"/>
      <c r="B42" s="175"/>
      <c r="C42" s="165"/>
      <c r="D42" s="165"/>
      <c r="E42" s="160"/>
      <c r="F42" s="160"/>
      <c r="G42" s="160"/>
      <c r="H42" s="161"/>
      <c r="I42" s="160"/>
      <c r="J42" s="168"/>
      <c r="K42" s="145"/>
      <c r="L42" s="136"/>
      <c r="M42" s="137"/>
      <c r="N42" s="137"/>
      <c r="O42" s="136"/>
      <c r="P42" s="136"/>
      <c r="Q42" s="136"/>
      <c r="R42" s="136"/>
      <c r="S42" s="176"/>
      <c r="T42" s="136"/>
      <c r="V42" s="64"/>
      <c r="W42" s="64"/>
      <c r="Y42" s="59"/>
      <c r="Z42" s="61"/>
      <c r="AB42" s="61"/>
      <c r="AC42" s="61"/>
    </row>
    <row r="43" spans="1:29" ht="13.2" x14ac:dyDescent="0.25">
      <c r="A43" s="174"/>
      <c r="B43" s="175"/>
      <c r="C43" s="165"/>
      <c r="D43" s="165"/>
      <c r="E43" s="160"/>
      <c r="F43" s="160"/>
      <c r="G43" s="160"/>
      <c r="H43" s="161"/>
      <c r="I43" s="160"/>
      <c r="J43" s="168"/>
      <c r="K43" s="145"/>
      <c r="L43" s="136"/>
      <c r="M43" s="137"/>
      <c r="N43" s="137"/>
      <c r="O43" s="136"/>
      <c r="P43" s="136"/>
      <c r="Q43" s="136"/>
      <c r="R43" s="136"/>
      <c r="S43" s="176"/>
      <c r="T43" s="136"/>
      <c r="V43" s="64"/>
      <c r="W43" s="64"/>
      <c r="Y43" s="59"/>
      <c r="Z43" s="61"/>
      <c r="AB43" s="61"/>
      <c r="AC43" s="61"/>
    </row>
    <row r="44" spans="1:29" ht="13.2" x14ac:dyDescent="0.25">
      <c r="A44" s="174"/>
      <c r="B44" s="175"/>
      <c r="C44" s="165"/>
      <c r="D44" s="165"/>
      <c r="E44" s="160"/>
      <c r="F44" s="160"/>
      <c r="G44" s="160"/>
      <c r="H44" s="161"/>
      <c r="I44" s="160"/>
      <c r="J44" s="168"/>
      <c r="K44" s="145"/>
      <c r="L44" s="136"/>
      <c r="M44" s="137"/>
      <c r="N44" s="137"/>
      <c r="O44" s="136"/>
      <c r="P44" s="136"/>
      <c r="Q44" s="136"/>
      <c r="R44" s="136"/>
      <c r="S44" s="176"/>
      <c r="T44" s="136"/>
      <c r="V44" s="64"/>
      <c r="W44" s="64"/>
      <c r="Y44" s="59"/>
      <c r="Z44" s="61"/>
      <c r="AB44" s="61"/>
      <c r="AC44" s="61"/>
    </row>
    <row r="45" spans="1:29" ht="13.2" x14ac:dyDescent="0.25">
      <c r="A45" s="174"/>
      <c r="B45" s="175"/>
      <c r="C45" s="165"/>
      <c r="D45" s="165"/>
      <c r="E45" s="160"/>
      <c r="F45" s="160"/>
      <c r="G45" s="160"/>
      <c r="H45" s="161"/>
      <c r="I45" s="160"/>
      <c r="J45" s="168"/>
      <c r="K45" s="145"/>
      <c r="L45" s="136"/>
      <c r="M45" s="137"/>
      <c r="N45" s="137"/>
      <c r="O45" s="136"/>
      <c r="P45" s="136"/>
      <c r="Q45" s="136"/>
      <c r="R45" s="136"/>
      <c r="S45" s="176"/>
      <c r="T45" s="136"/>
      <c r="V45" s="64"/>
      <c r="W45" s="64"/>
      <c r="Y45" s="59"/>
      <c r="Z45" s="61"/>
      <c r="AB45" s="61"/>
      <c r="AC45" s="61"/>
    </row>
    <row r="46" spans="1:29" ht="13.2" x14ac:dyDescent="0.25">
      <c r="A46" s="174"/>
      <c r="B46" s="175"/>
      <c r="C46" s="165"/>
      <c r="D46" s="165"/>
      <c r="E46" s="160"/>
      <c r="F46" s="160"/>
      <c r="G46" s="160"/>
      <c r="H46" s="161"/>
      <c r="I46" s="160"/>
      <c r="J46" s="168"/>
      <c r="K46" s="145"/>
      <c r="L46" s="136"/>
      <c r="M46" s="137"/>
      <c r="N46" s="137"/>
      <c r="O46" s="136"/>
      <c r="P46" s="136"/>
      <c r="Q46" s="136"/>
      <c r="R46" s="136"/>
      <c r="S46" s="176"/>
      <c r="T46" s="136"/>
      <c r="V46" s="64"/>
      <c r="W46" s="64"/>
      <c r="Y46" s="59"/>
      <c r="Z46" s="61"/>
      <c r="AB46" s="61"/>
      <c r="AC46" s="61"/>
    </row>
    <row r="47" spans="1:29" ht="13.2" x14ac:dyDescent="0.25">
      <c r="A47" s="174"/>
      <c r="B47" s="175"/>
      <c r="C47" s="165"/>
      <c r="D47" s="165"/>
      <c r="E47" s="160"/>
      <c r="F47" s="160"/>
      <c r="G47" s="160"/>
      <c r="H47" s="161"/>
      <c r="I47" s="160"/>
      <c r="J47" s="168"/>
      <c r="K47" s="145"/>
      <c r="L47" s="136"/>
      <c r="M47" s="137"/>
      <c r="N47" s="137"/>
      <c r="O47" s="136"/>
      <c r="P47" s="136"/>
      <c r="Q47" s="136"/>
      <c r="R47" s="136"/>
      <c r="S47" s="176"/>
      <c r="T47" s="136"/>
      <c r="V47" s="64"/>
      <c r="W47" s="64"/>
      <c r="Y47" s="59"/>
      <c r="Z47" s="61"/>
      <c r="AB47" s="61"/>
      <c r="AC47" s="61"/>
    </row>
    <row r="48" spans="1:29" ht="13.2" x14ac:dyDescent="0.25">
      <c r="A48" s="174"/>
      <c r="B48" s="175"/>
      <c r="C48" s="165"/>
      <c r="D48" s="165"/>
      <c r="E48" s="160"/>
      <c r="F48" s="160"/>
      <c r="G48" s="160"/>
      <c r="H48" s="161"/>
      <c r="I48" s="160"/>
      <c r="J48" s="168"/>
      <c r="K48" s="145"/>
      <c r="L48" s="136"/>
      <c r="M48" s="137"/>
      <c r="N48" s="137"/>
      <c r="O48" s="136"/>
      <c r="P48" s="136"/>
      <c r="Q48" s="136"/>
      <c r="R48" s="136"/>
      <c r="S48" s="176"/>
      <c r="T48" s="136"/>
      <c r="V48" s="64"/>
      <c r="W48" s="64"/>
      <c r="Y48" s="59"/>
      <c r="Z48" s="61"/>
      <c r="AB48" s="61"/>
      <c r="AC48" s="61"/>
    </row>
    <row r="49" spans="1:29" ht="13.2" x14ac:dyDescent="0.25">
      <c r="A49" s="174"/>
      <c r="B49" s="175"/>
      <c r="C49" s="165"/>
      <c r="D49" s="165"/>
      <c r="E49" s="160"/>
      <c r="F49" s="160"/>
      <c r="G49" s="160"/>
      <c r="H49" s="161"/>
      <c r="I49" s="160"/>
      <c r="J49" s="168"/>
      <c r="K49" s="145"/>
      <c r="L49" s="136"/>
      <c r="M49" s="137"/>
      <c r="N49" s="137"/>
      <c r="O49" s="136"/>
      <c r="P49" s="136"/>
      <c r="Q49" s="136"/>
      <c r="R49" s="136"/>
      <c r="S49" s="176"/>
      <c r="T49" s="136"/>
      <c r="V49" s="64"/>
      <c r="W49" s="64"/>
      <c r="Y49" s="59"/>
      <c r="Z49" s="61"/>
      <c r="AB49" s="61"/>
      <c r="AC49" s="61"/>
    </row>
    <row r="50" spans="1:29" ht="13.2" x14ac:dyDescent="0.25">
      <c r="A50" s="174"/>
      <c r="B50" s="175"/>
      <c r="C50" s="165"/>
      <c r="D50" s="165"/>
      <c r="E50" s="160"/>
      <c r="F50" s="160"/>
      <c r="G50" s="160"/>
      <c r="H50" s="161"/>
      <c r="I50" s="160"/>
      <c r="J50" s="168"/>
      <c r="K50" s="145"/>
      <c r="L50" s="136"/>
      <c r="M50" s="137"/>
      <c r="N50" s="137"/>
      <c r="O50" s="136"/>
      <c r="P50" s="136"/>
      <c r="Q50" s="136"/>
      <c r="R50" s="136"/>
      <c r="S50" s="176"/>
      <c r="T50" s="136"/>
      <c r="V50" s="64"/>
      <c r="W50" s="64"/>
      <c r="Y50" s="59"/>
      <c r="Z50" s="61"/>
      <c r="AB50" s="61"/>
      <c r="AC50" s="61"/>
    </row>
    <row r="51" spans="1:29" ht="13.2" x14ac:dyDescent="0.25">
      <c r="A51" s="13"/>
      <c r="B51" s="177"/>
      <c r="C51" s="178"/>
      <c r="D51" s="178"/>
      <c r="E51" s="179"/>
      <c r="F51" s="179"/>
      <c r="G51" s="179"/>
      <c r="H51" s="180"/>
      <c r="I51" s="179"/>
      <c r="J51" s="181"/>
      <c r="K51" s="145"/>
      <c r="L51" s="136"/>
      <c r="M51" s="137"/>
      <c r="N51" s="137"/>
      <c r="O51" s="136"/>
      <c r="P51" s="136"/>
      <c r="Q51" s="136"/>
      <c r="R51" s="136"/>
      <c r="S51" s="176"/>
      <c r="T51" s="136"/>
      <c r="V51" s="64"/>
      <c r="W51" s="64"/>
      <c r="Y51" s="59"/>
      <c r="Z51" s="61"/>
      <c r="AB51" s="61"/>
      <c r="AC51" s="61"/>
    </row>
    <row r="52" spans="1:29" ht="13.2" x14ac:dyDescent="0.25">
      <c r="A52" s="13"/>
      <c r="B52" s="177"/>
      <c r="C52" s="178"/>
      <c r="D52" s="178"/>
      <c r="E52" s="179"/>
      <c r="F52" s="179"/>
      <c r="G52" s="179"/>
      <c r="H52" s="180"/>
      <c r="I52" s="179"/>
      <c r="J52" s="181"/>
      <c r="K52" s="145"/>
      <c r="L52" s="136"/>
      <c r="M52" s="78"/>
      <c r="N52" s="78"/>
      <c r="O52" s="136"/>
      <c r="P52" s="136"/>
      <c r="Q52" s="136"/>
      <c r="R52" s="136"/>
      <c r="S52" s="176"/>
      <c r="T52" s="136"/>
      <c r="V52" s="64"/>
      <c r="W52" s="64"/>
      <c r="Y52" s="59"/>
      <c r="Z52" s="61"/>
      <c r="AB52" s="61"/>
      <c r="AC52" s="61"/>
    </row>
    <row r="53" spans="1:29" ht="13.2" x14ac:dyDescent="0.25">
      <c r="A53" s="13"/>
      <c r="B53" s="177"/>
      <c r="C53" s="178"/>
      <c r="D53" s="178"/>
      <c r="E53" s="179"/>
      <c r="F53" s="179"/>
      <c r="G53" s="179"/>
      <c r="H53" s="180"/>
      <c r="I53" s="179"/>
      <c r="J53" s="181"/>
      <c r="K53" s="145"/>
      <c r="L53" s="136"/>
      <c r="M53" s="78"/>
      <c r="N53" s="78"/>
      <c r="O53" s="136"/>
      <c r="P53" s="136"/>
      <c r="Q53" s="136"/>
      <c r="R53" s="136"/>
      <c r="S53" s="176"/>
      <c r="T53" s="136"/>
      <c r="V53" s="64"/>
      <c r="W53" s="64"/>
      <c r="Y53" s="59"/>
      <c r="Z53" s="61"/>
      <c r="AB53" s="61"/>
      <c r="AC53" s="61"/>
    </row>
    <row r="54" spans="1:29" ht="13.2" x14ac:dyDescent="0.25">
      <c r="A54" s="13"/>
      <c r="B54" s="177"/>
      <c r="C54" s="178"/>
      <c r="D54" s="178"/>
      <c r="E54" s="179"/>
      <c r="F54" s="179"/>
      <c r="G54" s="179"/>
      <c r="H54" s="180"/>
      <c r="I54" s="179"/>
      <c r="J54" s="181"/>
      <c r="K54" s="145"/>
      <c r="L54" s="136"/>
      <c r="M54" s="78"/>
      <c r="N54" s="78"/>
      <c r="O54" s="136"/>
      <c r="P54" s="136"/>
      <c r="Q54" s="136"/>
      <c r="R54" s="136"/>
      <c r="S54" s="176"/>
      <c r="T54" s="136"/>
      <c r="V54" s="64"/>
      <c r="W54" s="64"/>
      <c r="Y54" s="59"/>
      <c r="Z54" s="61"/>
      <c r="AB54" s="61"/>
      <c r="AC54" s="61"/>
    </row>
    <row r="55" spans="1:29" ht="13.2" x14ac:dyDescent="0.25">
      <c r="A55" s="13"/>
      <c r="B55" s="177"/>
      <c r="C55" s="178"/>
      <c r="D55" s="178"/>
      <c r="E55" s="179"/>
      <c r="F55" s="179"/>
      <c r="G55" s="179"/>
      <c r="H55" s="180"/>
      <c r="I55" s="179"/>
      <c r="J55" s="181"/>
      <c r="K55" s="145"/>
      <c r="L55" s="136"/>
      <c r="M55" s="78"/>
      <c r="N55" s="78"/>
      <c r="O55" s="136"/>
      <c r="P55" s="136"/>
      <c r="Q55" s="136"/>
      <c r="R55" s="136"/>
      <c r="S55" s="176"/>
      <c r="T55" s="136"/>
      <c r="V55" s="64"/>
      <c r="W55" s="64"/>
      <c r="Y55" s="59"/>
      <c r="Z55" s="61"/>
      <c r="AB55" s="61"/>
      <c r="AC55" s="61"/>
    </row>
    <row r="56" spans="1:29" ht="13.2" x14ac:dyDescent="0.25">
      <c r="A56" s="70"/>
      <c r="B56" s="182"/>
      <c r="C56" s="183"/>
      <c r="D56" s="183"/>
      <c r="E56" s="184"/>
      <c r="F56" s="184"/>
      <c r="G56" s="184"/>
      <c r="H56" s="185"/>
      <c r="I56" s="184"/>
      <c r="J56" s="186"/>
      <c r="K56" s="137"/>
      <c r="L56" s="136"/>
      <c r="M56" s="78"/>
      <c r="N56" s="78"/>
      <c r="O56" s="136"/>
      <c r="P56" s="136"/>
      <c r="Q56" s="136"/>
      <c r="R56" s="136"/>
      <c r="S56" s="176"/>
      <c r="T56" s="136"/>
      <c r="V56" s="64"/>
      <c r="W56" s="64"/>
      <c r="Y56" s="59"/>
      <c r="Z56" s="61"/>
      <c r="AB56" s="61"/>
      <c r="AC56" s="61"/>
    </row>
    <row r="57" spans="1:29" ht="13.2" x14ac:dyDescent="0.25">
      <c r="B57" s="187"/>
      <c r="C57" s="188"/>
      <c r="D57" s="188"/>
      <c r="E57" s="61"/>
      <c r="F57" s="61"/>
      <c r="G57" s="61"/>
      <c r="H57" s="189"/>
      <c r="I57" s="61"/>
      <c r="J57" s="190"/>
      <c r="K57" s="137"/>
      <c r="L57" s="136"/>
      <c r="M57" s="78"/>
      <c r="N57" s="78"/>
      <c r="O57" s="136"/>
      <c r="P57" s="136"/>
      <c r="Q57" s="136"/>
      <c r="R57" s="136"/>
      <c r="S57" s="176"/>
      <c r="T57" s="136"/>
      <c r="V57" s="64"/>
      <c r="W57" s="64"/>
      <c r="Y57" s="59"/>
      <c r="Z57" s="61"/>
      <c r="AB57" s="61"/>
      <c r="AC57" s="61"/>
    </row>
    <row r="58" spans="1:29" ht="13.2" x14ac:dyDescent="0.25">
      <c r="B58" s="187"/>
      <c r="C58" s="188"/>
      <c r="D58" s="188"/>
      <c r="E58" s="61"/>
      <c r="F58" s="61"/>
      <c r="G58" s="61"/>
      <c r="H58" s="189"/>
      <c r="I58" s="61"/>
      <c r="J58" s="190"/>
      <c r="K58" s="137"/>
      <c r="L58" s="136"/>
      <c r="M58" s="78"/>
      <c r="N58" s="78"/>
      <c r="O58" s="136"/>
      <c r="P58" s="136"/>
      <c r="Q58" s="136"/>
      <c r="R58" s="136"/>
      <c r="S58" s="176"/>
      <c r="T58" s="136"/>
      <c r="V58" s="64"/>
      <c r="W58" s="64"/>
      <c r="Y58" s="59"/>
      <c r="Z58" s="61"/>
      <c r="AB58" s="61"/>
      <c r="AC58" s="61"/>
    </row>
    <row r="59" spans="1:29" ht="13.2" x14ac:dyDescent="0.25">
      <c r="B59" s="187"/>
      <c r="C59" s="188"/>
      <c r="D59" s="188"/>
      <c r="E59" s="61"/>
      <c r="F59" s="61"/>
      <c r="G59" s="61"/>
      <c r="H59" s="189"/>
      <c r="I59" s="61"/>
      <c r="J59" s="190"/>
      <c r="K59" s="137"/>
      <c r="L59" s="136"/>
      <c r="M59" s="78"/>
      <c r="N59" s="78"/>
      <c r="O59" s="136"/>
      <c r="P59" s="136"/>
      <c r="Q59" s="136"/>
      <c r="R59" s="136"/>
      <c r="S59" s="176"/>
      <c r="T59" s="136"/>
      <c r="V59" s="64"/>
      <c r="W59" s="64"/>
      <c r="Y59" s="59"/>
      <c r="Z59" s="61"/>
      <c r="AB59" s="61"/>
      <c r="AC59" s="61"/>
    </row>
    <row r="60" spans="1:29" ht="13.2" x14ac:dyDescent="0.25">
      <c r="B60" s="187"/>
      <c r="C60" s="188"/>
      <c r="D60" s="188"/>
      <c r="E60" s="61"/>
      <c r="F60" s="61"/>
      <c r="G60" s="61"/>
      <c r="H60" s="189"/>
      <c r="I60" s="61"/>
      <c r="J60" s="190"/>
      <c r="K60" s="137"/>
      <c r="L60" s="136"/>
      <c r="M60" s="78"/>
      <c r="N60" s="78"/>
      <c r="O60" s="136"/>
      <c r="P60" s="136"/>
      <c r="Q60" s="136"/>
      <c r="R60" s="136"/>
      <c r="S60" s="176"/>
      <c r="T60" s="136"/>
      <c r="V60" s="64"/>
      <c r="W60" s="64"/>
      <c r="Y60" s="59"/>
      <c r="Z60" s="61"/>
      <c r="AB60" s="61"/>
      <c r="AC60" s="61"/>
    </row>
    <row r="61" spans="1:29" ht="13.2" x14ac:dyDescent="0.25">
      <c r="B61" s="187"/>
      <c r="C61" s="188"/>
      <c r="D61" s="188"/>
      <c r="E61" s="61"/>
      <c r="F61" s="61"/>
      <c r="G61" s="61"/>
      <c r="H61" s="189"/>
      <c r="I61" s="61"/>
      <c r="J61" s="190"/>
      <c r="K61" s="137"/>
      <c r="L61" s="136"/>
      <c r="M61" s="78"/>
      <c r="N61" s="78"/>
      <c r="O61" s="136"/>
      <c r="P61" s="136"/>
      <c r="Q61" s="136"/>
      <c r="R61" s="136"/>
      <c r="S61" s="176"/>
      <c r="T61" s="136"/>
      <c r="V61" s="64"/>
      <c r="W61" s="64"/>
      <c r="Y61" s="59"/>
      <c r="Z61" s="61"/>
      <c r="AB61" s="61"/>
      <c r="AC61" s="61"/>
    </row>
    <row r="62" spans="1:29" ht="13.2" x14ac:dyDescent="0.25">
      <c r="B62" s="187"/>
      <c r="C62" s="188"/>
      <c r="D62" s="188"/>
      <c r="E62" s="61"/>
      <c r="F62" s="61"/>
      <c r="G62" s="61"/>
      <c r="H62" s="189"/>
      <c r="I62" s="61"/>
      <c r="J62" s="190"/>
      <c r="K62" s="137"/>
      <c r="L62" s="136"/>
      <c r="M62" s="78"/>
      <c r="N62" s="78"/>
      <c r="O62" s="136"/>
      <c r="P62" s="136"/>
      <c r="Q62" s="136"/>
      <c r="R62" s="136"/>
      <c r="S62" s="176"/>
      <c r="T62" s="136"/>
      <c r="V62" s="64"/>
      <c r="W62" s="64"/>
      <c r="Y62" s="59"/>
      <c r="Z62" s="61"/>
      <c r="AB62" s="61"/>
      <c r="AC62" s="61"/>
    </row>
    <row r="63" spans="1:29" ht="13.2" x14ac:dyDescent="0.25">
      <c r="B63" s="187"/>
      <c r="C63" s="188"/>
      <c r="D63" s="188"/>
      <c r="E63" s="61"/>
      <c r="F63" s="61"/>
      <c r="G63" s="61"/>
      <c r="H63" s="189"/>
      <c r="I63" s="61"/>
      <c r="J63" s="190"/>
      <c r="K63" s="137"/>
      <c r="L63" s="136"/>
      <c r="M63" s="78"/>
      <c r="N63" s="78"/>
      <c r="O63" s="136"/>
      <c r="P63" s="136"/>
      <c r="Q63" s="136"/>
      <c r="R63" s="136"/>
      <c r="S63" s="176"/>
      <c r="T63" s="136"/>
      <c r="V63" s="64"/>
      <c r="W63" s="64"/>
      <c r="Y63" s="59"/>
      <c r="Z63" s="61"/>
      <c r="AB63" s="61"/>
      <c r="AC63" s="61"/>
    </row>
    <row r="64" spans="1:29" ht="13.2" x14ac:dyDescent="0.25">
      <c r="B64" s="187"/>
      <c r="C64" s="188"/>
      <c r="D64" s="188"/>
      <c r="E64" s="61"/>
      <c r="F64" s="61"/>
      <c r="G64" s="61"/>
      <c r="H64" s="189"/>
      <c r="I64" s="61"/>
      <c r="J64" s="190"/>
      <c r="K64" s="137"/>
      <c r="L64" s="136"/>
      <c r="M64" s="78"/>
      <c r="N64" s="78"/>
      <c r="O64" s="136"/>
      <c r="P64" s="136"/>
      <c r="Q64" s="136"/>
      <c r="R64" s="136"/>
      <c r="S64" s="176"/>
      <c r="T64" s="136"/>
      <c r="V64" s="64"/>
      <c r="W64" s="64"/>
      <c r="Y64" s="59"/>
      <c r="Z64" s="61"/>
      <c r="AB64" s="61"/>
      <c r="AC64" s="61"/>
    </row>
    <row r="65" spans="2:29" ht="13.2" x14ac:dyDescent="0.25">
      <c r="B65" s="187"/>
      <c r="C65" s="188"/>
      <c r="D65" s="188"/>
      <c r="E65" s="61"/>
      <c r="F65" s="61"/>
      <c r="G65" s="61"/>
      <c r="H65" s="189"/>
      <c r="I65" s="61"/>
      <c r="J65" s="190"/>
      <c r="K65" s="137"/>
      <c r="L65" s="136"/>
      <c r="M65" s="78"/>
      <c r="N65" s="78"/>
      <c r="O65" s="136"/>
      <c r="P65" s="136"/>
      <c r="Q65" s="136"/>
      <c r="R65" s="136"/>
      <c r="S65" s="176"/>
      <c r="T65" s="136"/>
      <c r="V65" s="64"/>
      <c r="W65" s="64"/>
      <c r="Y65" s="59"/>
      <c r="Z65" s="61"/>
      <c r="AB65" s="61"/>
      <c r="AC65" s="61"/>
    </row>
    <row r="66" spans="2:29" ht="13.2" x14ac:dyDescent="0.25">
      <c r="B66" s="187"/>
      <c r="C66" s="188"/>
      <c r="D66" s="188"/>
      <c r="E66" s="61"/>
      <c r="F66" s="61"/>
      <c r="G66" s="61"/>
      <c r="H66" s="189"/>
      <c r="I66" s="61"/>
      <c r="J66" s="190"/>
      <c r="K66" s="137"/>
      <c r="L66" s="136"/>
      <c r="M66" s="78"/>
      <c r="N66" s="78"/>
      <c r="O66" s="136"/>
      <c r="P66" s="136"/>
      <c r="Q66" s="136"/>
      <c r="R66" s="136"/>
      <c r="S66" s="176"/>
      <c r="T66" s="136"/>
      <c r="V66" s="64"/>
      <c r="W66" s="64"/>
      <c r="Y66" s="59"/>
      <c r="Z66" s="61"/>
      <c r="AB66" s="61"/>
      <c r="AC66" s="61"/>
    </row>
    <row r="67" spans="2:29" ht="13.2" x14ac:dyDescent="0.25">
      <c r="B67" s="187"/>
      <c r="C67" s="188"/>
      <c r="D67" s="188"/>
      <c r="E67" s="61"/>
      <c r="F67" s="61"/>
      <c r="G67" s="61"/>
      <c r="H67" s="189"/>
      <c r="I67" s="61"/>
      <c r="J67" s="190"/>
      <c r="K67" s="137"/>
      <c r="L67" s="136"/>
      <c r="M67" s="78"/>
      <c r="N67" s="78"/>
      <c r="O67" s="136"/>
      <c r="P67" s="136"/>
      <c r="Q67" s="136"/>
      <c r="R67" s="136"/>
      <c r="S67" s="176"/>
      <c r="T67" s="136"/>
      <c r="V67" s="64"/>
      <c r="W67" s="64"/>
      <c r="Y67" s="59"/>
      <c r="Z67" s="61"/>
      <c r="AB67" s="61"/>
      <c r="AC67" s="61"/>
    </row>
    <row r="68" spans="2:29" ht="13.2" x14ac:dyDescent="0.25">
      <c r="B68" s="187"/>
      <c r="C68" s="188"/>
      <c r="D68" s="188"/>
      <c r="E68" s="61"/>
      <c r="F68" s="61"/>
      <c r="G68" s="61"/>
      <c r="H68" s="189"/>
      <c r="I68" s="61"/>
      <c r="J68" s="190"/>
      <c r="K68" s="137"/>
      <c r="L68" s="136"/>
      <c r="M68" s="78"/>
      <c r="N68" s="78"/>
      <c r="O68" s="136"/>
      <c r="P68" s="136"/>
      <c r="Q68" s="136"/>
      <c r="R68" s="136"/>
      <c r="S68" s="176"/>
      <c r="T68" s="136"/>
      <c r="V68" s="64"/>
      <c r="W68" s="64"/>
      <c r="Y68" s="59"/>
      <c r="Z68" s="61"/>
      <c r="AB68" s="61"/>
      <c r="AC68" s="61"/>
    </row>
    <row r="69" spans="2:29" ht="13.2" x14ac:dyDescent="0.25">
      <c r="B69" s="187"/>
      <c r="C69" s="188"/>
      <c r="D69" s="188"/>
      <c r="E69" s="61"/>
      <c r="F69" s="61"/>
      <c r="G69" s="61"/>
      <c r="H69" s="189"/>
      <c r="I69" s="61"/>
      <c r="J69" s="190"/>
      <c r="K69" s="137"/>
      <c r="L69" s="136"/>
      <c r="M69" s="78"/>
      <c r="N69" s="78"/>
      <c r="O69" s="136"/>
      <c r="P69" s="136"/>
      <c r="Q69" s="136"/>
      <c r="R69" s="136"/>
      <c r="S69" s="176"/>
      <c r="T69" s="136"/>
      <c r="V69" s="64"/>
      <c r="W69" s="64"/>
      <c r="Y69" s="59"/>
      <c r="Z69" s="61"/>
      <c r="AB69" s="61"/>
      <c r="AC69" s="61"/>
    </row>
    <row r="70" spans="2:29" ht="13.2" x14ac:dyDescent="0.25">
      <c r="B70" s="187"/>
      <c r="C70" s="188"/>
      <c r="D70" s="188"/>
      <c r="E70" s="61"/>
      <c r="F70" s="61"/>
      <c r="G70" s="61"/>
      <c r="H70" s="189"/>
      <c r="I70" s="61"/>
      <c r="J70" s="190"/>
      <c r="K70" s="137"/>
      <c r="L70" s="136"/>
      <c r="M70" s="78"/>
      <c r="N70" s="78"/>
      <c r="O70" s="136"/>
      <c r="P70" s="136"/>
      <c r="Q70" s="136"/>
      <c r="R70" s="136"/>
      <c r="S70" s="176"/>
      <c r="T70" s="136"/>
      <c r="V70" s="64"/>
      <c r="W70" s="64"/>
      <c r="Y70" s="59"/>
      <c r="Z70" s="61"/>
      <c r="AB70" s="61"/>
      <c r="AC70" s="61"/>
    </row>
    <row r="71" spans="2:29" ht="13.2" x14ac:dyDescent="0.25">
      <c r="B71" s="187"/>
      <c r="C71" s="188"/>
      <c r="D71" s="188"/>
      <c r="E71" s="61"/>
      <c r="F71" s="61"/>
      <c r="G71" s="61"/>
      <c r="H71" s="189"/>
      <c r="I71" s="61"/>
      <c r="J71" s="190"/>
      <c r="K71" s="137"/>
      <c r="L71" s="136"/>
      <c r="M71" s="78"/>
      <c r="N71" s="78"/>
      <c r="O71" s="136"/>
      <c r="P71" s="136"/>
      <c r="Q71" s="136"/>
      <c r="R71" s="136"/>
      <c r="S71" s="176"/>
      <c r="T71" s="136"/>
      <c r="V71" s="64"/>
      <c r="W71" s="64"/>
      <c r="Y71" s="59"/>
      <c r="Z71" s="61"/>
      <c r="AB71" s="61"/>
      <c r="AC71" s="61"/>
    </row>
    <row r="72" spans="2:29" ht="13.2" x14ac:dyDescent="0.25">
      <c r="B72" s="187"/>
      <c r="C72" s="188"/>
      <c r="D72" s="188"/>
      <c r="E72" s="61"/>
      <c r="F72" s="61"/>
      <c r="G72" s="61"/>
      <c r="H72" s="189"/>
      <c r="I72" s="61"/>
      <c r="J72" s="190"/>
      <c r="K72" s="137"/>
      <c r="L72" s="136"/>
      <c r="M72" s="78"/>
      <c r="N72" s="78"/>
      <c r="O72" s="136"/>
      <c r="P72" s="136"/>
      <c r="Q72" s="136"/>
      <c r="R72" s="136"/>
      <c r="S72" s="176"/>
      <c r="T72" s="136"/>
      <c r="V72" s="64"/>
      <c r="W72" s="64"/>
      <c r="Y72" s="59"/>
      <c r="Z72" s="61"/>
      <c r="AB72" s="61"/>
      <c r="AC72" s="61"/>
    </row>
    <row r="73" spans="2:29" ht="13.2" x14ac:dyDescent="0.25">
      <c r="B73" s="187"/>
      <c r="C73" s="188"/>
      <c r="D73" s="188"/>
      <c r="E73" s="61"/>
      <c r="F73" s="61"/>
      <c r="G73" s="61"/>
      <c r="H73" s="189"/>
      <c r="I73" s="61"/>
      <c r="J73" s="190"/>
      <c r="K73" s="137"/>
      <c r="L73" s="136"/>
      <c r="M73" s="78"/>
      <c r="N73" s="78"/>
      <c r="O73" s="136"/>
      <c r="P73" s="136"/>
      <c r="Q73" s="136"/>
      <c r="R73" s="136"/>
      <c r="S73" s="176"/>
      <c r="T73" s="136"/>
      <c r="V73" s="64"/>
      <c r="W73" s="64"/>
      <c r="Y73" s="59"/>
      <c r="Z73" s="61"/>
      <c r="AB73" s="61"/>
      <c r="AC73" s="61"/>
    </row>
    <row r="74" spans="2:29" ht="13.2" x14ac:dyDescent="0.25">
      <c r="B74" s="187"/>
      <c r="C74" s="188"/>
      <c r="D74" s="188"/>
      <c r="E74" s="61"/>
      <c r="F74" s="61"/>
      <c r="G74" s="61"/>
      <c r="H74" s="189"/>
      <c r="I74" s="61"/>
      <c r="J74" s="190"/>
      <c r="K74" s="137"/>
      <c r="L74" s="136"/>
      <c r="M74" s="78"/>
      <c r="N74" s="78"/>
      <c r="O74" s="136"/>
      <c r="P74" s="136"/>
      <c r="Q74" s="136"/>
      <c r="R74" s="136"/>
      <c r="S74" s="176"/>
      <c r="T74" s="136"/>
      <c r="V74" s="64"/>
      <c r="W74" s="64"/>
      <c r="Y74" s="59"/>
      <c r="Z74" s="61"/>
      <c r="AB74" s="61"/>
      <c r="AC74" s="61"/>
    </row>
    <row r="75" spans="2:29" ht="13.2" x14ac:dyDescent="0.25">
      <c r="B75" s="187"/>
      <c r="C75" s="188"/>
      <c r="D75" s="188"/>
      <c r="E75" s="61"/>
      <c r="F75" s="61"/>
      <c r="G75" s="61"/>
      <c r="H75" s="189"/>
      <c r="I75" s="61"/>
      <c r="J75" s="190"/>
      <c r="K75" s="137"/>
      <c r="L75" s="136"/>
      <c r="M75" s="78"/>
      <c r="N75" s="78"/>
      <c r="O75" s="136"/>
      <c r="P75" s="136"/>
      <c r="Q75" s="136"/>
      <c r="R75" s="136"/>
      <c r="S75" s="176"/>
      <c r="T75" s="136"/>
      <c r="V75" s="64"/>
      <c r="W75" s="64"/>
      <c r="Y75" s="59"/>
      <c r="Z75" s="61"/>
      <c r="AB75" s="61"/>
      <c r="AC75" s="61"/>
    </row>
    <row r="76" spans="2:29" ht="13.2" x14ac:dyDescent="0.25">
      <c r="B76" s="187"/>
      <c r="C76" s="188"/>
      <c r="D76" s="188"/>
      <c r="E76" s="61"/>
      <c r="F76" s="61"/>
      <c r="G76" s="61"/>
      <c r="H76" s="189"/>
      <c r="I76" s="61"/>
      <c r="J76" s="190"/>
      <c r="K76" s="137"/>
      <c r="L76" s="136"/>
      <c r="M76" s="78"/>
      <c r="N76" s="78"/>
      <c r="O76" s="136"/>
      <c r="P76" s="136"/>
      <c r="Q76" s="136"/>
      <c r="R76" s="136"/>
      <c r="S76" s="176"/>
      <c r="T76" s="136"/>
      <c r="V76" s="64"/>
      <c r="W76" s="64"/>
      <c r="Y76" s="59"/>
      <c r="Z76" s="61"/>
      <c r="AB76" s="61"/>
      <c r="AC76" s="61"/>
    </row>
    <row r="77" spans="2:29" ht="13.2" x14ac:dyDescent="0.25">
      <c r="B77" s="187"/>
      <c r="C77" s="188"/>
      <c r="D77" s="188"/>
      <c r="E77" s="61"/>
      <c r="F77" s="61"/>
      <c r="G77" s="61"/>
      <c r="H77" s="189"/>
      <c r="I77" s="61"/>
      <c r="J77" s="190"/>
      <c r="K77" s="137"/>
      <c r="L77" s="136"/>
      <c r="M77" s="78"/>
      <c r="N77" s="78"/>
      <c r="O77" s="136"/>
      <c r="P77" s="136"/>
      <c r="Q77" s="136"/>
      <c r="R77" s="136"/>
      <c r="S77" s="176"/>
      <c r="T77" s="136"/>
      <c r="V77" s="64"/>
      <c r="W77" s="64"/>
      <c r="Y77" s="59"/>
      <c r="Z77" s="61"/>
      <c r="AB77" s="61"/>
      <c r="AC77" s="61"/>
    </row>
    <row r="78" spans="2:29" ht="13.2" x14ac:dyDescent="0.25">
      <c r="B78" s="187"/>
      <c r="C78" s="188"/>
      <c r="D78" s="188"/>
      <c r="E78" s="61"/>
      <c r="F78" s="61"/>
      <c r="G78" s="61"/>
      <c r="H78" s="189"/>
      <c r="I78" s="61"/>
      <c r="J78" s="190"/>
      <c r="K78" s="137"/>
      <c r="L78" s="136"/>
      <c r="M78" s="78"/>
      <c r="N78" s="78"/>
      <c r="O78" s="136"/>
      <c r="P78" s="136"/>
      <c r="Q78" s="136"/>
      <c r="R78" s="136"/>
      <c r="S78" s="176"/>
      <c r="T78" s="136"/>
      <c r="V78" s="64"/>
      <c r="W78" s="64"/>
      <c r="Y78" s="59"/>
      <c r="Z78" s="61"/>
      <c r="AB78" s="61"/>
      <c r="AC78" s="61"/>
    </row>
    <row r="79" spans="2:29" ht="13.2" x14ac:dyDescent="0.25">
      <c r="B79" s="187"/>
      <c r="C79" s="188"/>
      <c r="D79" s="188"/>
      <c r="E79" s="61"/>
      <c r="F79" s="61"/>
      <c r="G79" s="61"/>
      <c r="H79" s="189"/>
      <c r="I79" s="61"/>
      <c r="J79" s="190"/>
      <c r="K79" s="137"/>
      <c r="L79" s="136"/>
      <c r="M79" s="78"/>
      <c r="N79" s="78"/>
      <c r="O79" s="136"/>
      <c r="P79" s="136"/>
      <c r="Q79" s="136"/>
      <c r="R79" s="136"/>
      <c r="S79" s="176"/>
      <c r="T79" s="136"/>
      <c r="V79" s="64"/>
      <c r="W79" s="64"/>
      <c r="Y79" s="59"/>
      <c r="Z79" s="61"/>
      <c r="AB79" s="61"/>
      <c r="AC79" s="61"/>
    </row>
    <row r="80" spans="2:29" ht="13.2" x14ac:dyDescent="0.25">
      <c r="B80" s="187"/>
      <c r="C80" s="188"/>
      <c r="D80" s="188"/>
      <c r="E80" s="61"/>
      <c r="F80" s="61"/>
      <c r="G80" s="61"/>
      <c r="H80" s="189"/>
      <c r="I80" s="61"/>
      <c r="J80" s="190"/>
      <c r="K80" s="137"/>
      <c r="L80" s="136"/>
      <c r="M80" s="78"/>
      <c r="N80" s="78"/>
      <c r="O80" s="136"/>
      <c r="P80" s="136"/>
      <c r="Q80" s="136"/>
      <c r="R80" s="136"/>
      <c r="S80" s="176"/>
      <c r="T80" s="136"/>
      <c r="V80" s="64"/>
      <c r="W80" s="64"/>
      <c r="Y80" s="59"/>
      <c r="Z80" s="61"/>
      <c r="AB80" s="61"/>
      <c r="AC80" s="61"/>
    </row>
    <row r="81" spans="2:29" ht="13.2" x14ac:dyDescent="0.25">
      <c r="B81" s="187"/>
      <c r="C81" s="188"/>
      <c r="D81" s="188"/>
      <c r="E81" s="61"/>
      <c r="F81" s="61"/>
      <c r="G81" s="61"/>
      <c r="H81" s="189"/>
      <c r="I81" s="61"/>
      <c r="J81" s="190"/>
      <c r="K81" s="137"/>
      <c r="L81" s="136"/>
      <c r="M81" s="78"/>
      <c r="N81" s="78"/>
      <c r="O81" s="136"/>
      <c r="P81" s="136"/>
      <c r="Q81" s="136"/>
      <c r="R81" s="136"/>
      <c r="S81" s="176"/>
      <c r="T81" s="136"/>
      <c r="V81" s="64"/>
      <c r="W81" s="64"/>
      <c r="Y81" s="59"/>
      <c r="Z81" s="61"/>
      <c r="AB81" s="61"/>
      <c r="AC81" s="61"/>
    </row>
    <row r="82" spans="2:29" ht="13.2" x14ac:dyDescent="0.25">
      <c r="B82" s="187"/>
      <c r="C82" s="188"/>
      <c r="D82" s="188"/>
      <c r="E82" s="61"/>
      <c r="F82" s="61"/>
      <c r="G82" s="61"/>
      <c r="H82" s="189"/>
      <c r="I82" s="61"/>
      <c r="J82" s="190"/>
      <c r="K82" s="137"/>
      <c r="L82" s="136"/>
      <c r="M82" s="78"/>
      <c r="N82" s="78"/>
      <c r="O82" s="136"/>
      <c r="P82" s="136"/>
      <c r="Q82" s="136"/>
      <c r="R82" s="136"/>
      <c r="S82" s="176"/>
      <c r="T82" s="136"/>
      <c r="V82" s="64"/>
      <c r="W82" s="64"/>
      <c r="Y82" s="59"/>
      <c r="Z82" s="61"/>
      <c r="AB82" s="61"/>
      <c r="AC82" s="61"/>
    </row>
    <row r="83" spans="2:29" ht="13.2" x14ac:dyDescent="0.25">
      <c r="B83" s="187"/>
      <c r="C83" s="188"/>
      <c r="D83" s="188"/>
      <c r="E83" s="61"/>
      <c r="F83" s="61"/>
      <c r="G83" s="61"/>
      <c r="H83" s="189"/>
      <c r="I83" s="61"/>
      <c r="J83" s="190"/>
      <c r="K83" s="137"/>
      <c r="L83" s="136"/>
      <c r="M83" s="78"/>
      <c r="N83" s="78"/>
      <c r="O83" s="136"/>
      <c r="P83" s="136"/>
      <c r="Q83" s="136"/>
      <c r="R83" s="136"/>
      <c r="S83" s="176"/>
      <c r="T83" s="136"/>
      <c r="V83" s="64"/>
      <c r="W83" s="64"/>
      <c r="Y83" s="59"/>
      <c r="Z83" s="61"/>
      <c r="AB83" s="61"/>
      <c r="AC83" s="61"/>
    </row>
    <row r="84" spans="2:29" ht="13.2" x14ac:dyDescent="0.25">
      <c r="B84" s="187"/>
      <c r="C84" s="188"/>
      <c r="D84" s="188"/>
      <c r="E84" s="61"/>
      <c r="F84" s="61"/>
      <c r="G84" s="61"/>
      <c r="H84" s="189"/>
      <c r="I84" s="61"/>
      <c r="J84" s="190"/>
      <c r="K84" s="137"/>
      <c r="L84" s="136"/>
      <c r="M84" s="78"/>
      <c r="N84" s="78"/>
      <c r="O84" s="136"/>
      <c r="P84" s="136"/>
      <c r="Q84" s="136"/>
      <c r="R84" s="136"/>
      <c r="S84" s="176"/>
      <c r="T84" s="136"/>
      <c r="V84" s="64"/>
      <c r="W84" s="64"/>
      <c r="Y84" s="59"/>
      <c r="Z84" s="61"/>
      <c r="AB84" s="61"/>
      <c r="AC84" s="61"/>
    </row>
    <row r="85" spans="2:29" ht="13.2" x14ac:dyDescent="0.25">
      <c r="B85" s="187"/>
      <c r="C85" s="188"/>
      <c r="D85" s="188"/>
      <c r="E85" s="61"/>
      <c r="F85" s="61"/>
      <c r="G85" s="61"/>
      <c r="H85" s="189"/>
      <c r="I85" s="61"/>
      <c r="J85" s="190"/>
      <c r="K85" s="137"/>
      <c r="L85" s="136"/>
      <c r="M85" s="78"/>
      <c r="N85" s="78"/>
      <c r="O85" s="136"/>
      <c r="P85" s="136"/>
      <c r="Q85" s="136"/>
      <c r="R85" s="136"/>
      <c r="S85" s="176"/>
      <c r="T85" s="136"/>
      <c r="V85" s="64"/>
      <c r="W85" s="64"/>
      <c r="Y85" s="59"/>
      <c r="Z85" s="61"/>
      <c r="AB85" s="61"/>
      <c r="AC85" s="61"/>
    </row>
    <row r="86" spans="2:29" ht="13.2" x14ac:dyDescent="0.25">
      <c r="B86" s="187"/>
      <c r="C86" s="188"/>
      <c r="D86" s="188"/>
      <c r="E86" s="61"/>
      <c r="F86" s="61"/>
      <c r="G86" s="61"/>
      <c r="H86" s="189"/>
      <c r="I86" s="61"/>
      <c r="J86" s="190"/>
      <c r="K86" s="137"/>
      <c r="L86" s="136"/>
      <c r="M86" s="78"/>
      <c r="N86" s="78"/>
      <c r="O86" s="136"/>
      <c r="P86" s="136"/>
      <c r="Q86" s="136"/>
      <c r="R86" s="136"/>
      <c r="S86" s="176"/>
      <c r="T86" s="136"/>
      <c r="V86" s="64"/>
      <c r="W86" s="64"/>
      <c r="Y86" s="59"/>
      <c r="Z86" s="61"/>
      <c r="AB86" s="61"/>
      <c r="AC86" s="61"/>
    </row>
    <row r="87" spans="2:29" ht="13.2" x14ac:dyDescent="0.25">
      <c r="B87" s="187"/>
      <c r="C87" s="188"/>
      <c r="D87" s="188"/>
      <c r="E87" s="61"/>
      <c r="F87" s="61"/>
      <c r="G87" s="61"/>
      <c r="H87" s="189"/>
      <c r="I87" s="61"/>
      <c r="J87" s="190"/>
      <c r="K87" s="137"/>
      <c r="L87" s="136"/>
      <c r="M87" s="78"/>
      <c r="N87" s="78"/>
      <c r="O87" s="136"/>
      <c r="P87" s="136"/>
      <c r="Q87" s="136"/>
      <c r="R87" s="136"/>
      <c r="S87" s="176"/>
      <c r="T87" s="136"/>
      <c r="V87" s="64"/>
      <c r="W87" s="64"/>
      <c r="Y87" s="59"/>
      <c r="Z87" s="61"/>
      <c r="AB87" s="61"/>
      <c r="AC87" s="61"/>
    </row>
    <row r="88" spans="2:29" ht="13.2" x14ac:dyDescent="0.25">
      <c r="B88" s="187"/>
      <c r="C88" s="188"/>
      <c r="D88" s="188"/>
      <c r="E88" s="61"/>
      <c r="F88" s="61"/>
      <c r="G88" s="61"/>
      <c r="H88" s="189"/>
      <c r="I88" s="61"/>
      <c r="J88" s="190"/>
      <c r="K88" s="137"/>
      <c r="L88" s="136"/>
      <c r="M88" s="78"/>
      <c r="N88" s="78"/>
      <c r="O88" s="136"/>
      <c r="P88" s="136"/>
      <c r="Q88" s="136"/>
      <c r="R88" s="136"/>
      <c r="S88" s="176"/>
      <c r="T88" s="136"/>
      <c r="V88" s="64"/>
      <c r="W88" s="64"/>
      <c r="Y88" s="59"/>
      <c r="Z88" s="61"/>
      <c r="AB88" s="61"/>
      <c r="AC88" s="61"/>
    </row>
    <row r="89" spans="2:29" ht="13.2" x14ac:dyDescent="0.25">
      <c r="B89" s="187"/>
      <c r="C89" s="188"/>
      <c r="D89" s="188"/>
      <c r="E89" s="61"/>
      <c r="F89" s="61"/>
      <c r="G89" s="61"/>
      <c r="H89" s="189"/>
      <c r="I89" s="61"/>
      <c r="J89" s="190"/>
      <c r="K89" s="137"/>
      <c r="L89" s="136"/>
      <c r="M89" s="78"/>
      <c r="N89" s="78"/>
      <c r="O89" s="136"/>
      <c r="P89" s="136"/>
      <c r="Q89" s="136"/>
      <c r="R89" s="136"/>
      <c r="S89" s="176"/>
      <c r="T89" s="136"/>
      <c r="V89" s="64"/>
      <c r="W89" s="64"/>
      <c r="Y89" s="59"/>
      <c r="Z89" s="61"/>
      <c r="AB89" s="61"/>
      <c r="AC89" s="61"/>
    </row>
    <row r="90" spans="2:29" ht="13.2" x14ac:dyDescent="0.25">
      <c r="B90" s="187"/>
      <c r="C90" s="188"/>
      <c r="D90" s="188"/>
      <c r="E90" s="61"/>
      <c r="F90" s="61"/>
      <c r="G90" s="61"/>
      <c r="H90" s="189"/>
      <c r="I90" s="61"/>
      <c r="J90" s="190"/>
      <c r="K90" s="137"/>
      <c r="L90" s="136"/>
      <c r="M90" s="78"/>
      <c r="N90" s="78"/>
      <c r="O90" s="136"/>
      <c r="P90" s="136"/>
      <c r="Q90" s="136"/>
      <c r="R90" s="136"/>
      <c r="S90" s="176"/>
      <c r="T90" s="136"/>
      <c r="V90" s="64"/>
      <c r="W90" s="64"/>
      <c r="Y90" s="59"/>
      <c r="Z90" s="61"/>
      <c r="AB90" s="61"/>
      <c r="AC90" s="61"/>
    </row>
    <row r="91" spans="2:29" ht="13.2" x14ac:dyDescent="0.25">
      <c r="B91" s="187"/>
      <c r="C91" s="188"/>
      <c r="D91" s="188"/>
      <c r="E91" s="61"/>
      <c r="F91" s="61"/>
      <c r="G91" s="61"/>
      <c r="H91" s="189"/>
      <c r="I91" s="61"/>
      <c r="J91" s="190"/>
      <c r="K91" s="137"/>
      <c r="L91" s="136"/>
      <c r="M91" s="78"/>
      <c r="N91" s="78"/>
      <c r="O91" s="136"/>
      <c r="P91" s="136"/>
      <c r="Q91" s="136"/>
      <c r="R91" s="136"/>
      <c r="S91" s="176"/>
      <c r="T91" s="136"/>
      <c r="V91" s="64"/>
      <c r="W91" s="64"/>
      <c r="Y91" s="59"/>
      <c r="Z91" s="61"/>
      <c r="AB91" s="61"/>
      <c r="AC91" s="61"/>
    </row>
    <row r="92" spans="2:29" ht="13.2" x14ac:dyDescent="0.25">
      <c r="B92" s="187"/>
      <c r="C92" s="188"/>
      <c r="D92" s="188"/>
      <c r="E92" s="61"/>
      <c r="F92" s="61"/>
      <c r="G92" s="61"/>
      <c r="H92" s="189"/>
      <c r="I92" s="61"/>
      <c r="J92" s="190"/>
      <c r="K92" s="137"/>
      <c r="L92" s="136"/>
      <c r="M92" s="78"/>
      <c r="N92" s="78"/>
      <c r="O92" s="136"/>
      <c r="P92" s="136"/>
      <c r="Q92" s="136"/>
      <c r="R92" s="136"/>
      <c r="S92" s="176"/>
      <c r="T92" s="136"/>
      <c r="V92" s="64"/>
      <c r="W92" s="64"/>
      <c r="Y92" s="59"/>
      <c r="Z92" s="61"/>
      <c r="AB92" s="61"/>
      <c r="AC92" s="61"/>
    </row>
    <row r="93" spans="2:29" ht="13.2" x14ac:dyDescent="0.25">
      <c r="B93" s="187"/>
      <c r="C93" s="188"/>
      <c r="D93" s="188"/>
      <c r="E93" s="61"/>
      <c r="F93" s="61"/>
      <c r="G93" s="61"/>
      <c r="H93" s="189"/>
      <c r="I93" s="61"/>
      <c r="J93" s="190"/>
      <c r="K93" s="137"/>
      <c r="L93" s="136"/>
      <c r="M93" s="78"/>
      <c r="N93" s="78"/>
      <c r="O93" s="136"/>
      <c r="P93" s="136"/>
      <c r="Q93" s="136"/>
      <c r="R93" s="136"/>
      <c r="S93" s="176"/>
      <c r="T93" s="136"/>
      <c r="V93" s="64"/>
      <c r="W93" s="64"/>
      <c r="Y93" s="59"/>
      <c r="Z93" s="61"/>
      <c r="AB93" s="61"/>
      <c r="AC93" s="61"/>
    </row>
    <row r="94" spans="2:29" ht="13.2" x14ac:dyDescent="0.25">
      <c r="B94" s="187"/>
      <c r="C94" s="188"/>
      <c r="D94" s="188"/>
      <c r="E94" s="61"/>
      <c r="F94" s="61"/>
      <c r="G94" s="61"/>
      <c r="H94" s="189"/>
      <c r="I94" s="61"/>
      <c r="J94" s="190"/>
      <c r="K94" s="137"/>
      <c r="L94" s="136"/>
      <c r="M94" s="78"/>
      <c r="N94" s="78"/>
      <c r="O94" s="136"/>
      <c r="P94" s="136"/>
      <c r="Q94" s="136"/>
      <c r="R94" s="136"/>
      <c r="S94" s="176"/>
      <c r="T94" s="136"/>
      <c r="V94" s="64"/>
      <c r="W94" s="64"/>
      <c r="Y94" s="59"/>
      <c r="Z94" s="61"/>
      <c r="AB94" s="61"/>
      <c r="AC94" s="61"/>
    </row>
    <row r="95" spans="2:29" ht="13.2" x14ac:dyDescent="0.25">
      <c r="B95" s="187"/>
      <c r="C95" s="188"/>
      <c r="D95" s="188"/>
      <c r="E95" s="61"/>
      <c r="F95" s="61"/>
      <c r="G95" s="61"/>
      <c r="H95" s="189"/>
      <c r="I95" s="61"/>
      <c r="J95" s="190"/>
      <c r="K95" s="137"/>
      <c r="L95" s="136"/>
      <c r="M95" s="78"/>
      <c r="N95" s="78"/>
      <c r="O95" s="136"/>
      <c r="P95" s="136"/>
      <c r="Q95" s="136"/>
      <c r="R95" s="136"/>
      <c r="S95" s="176"/>
      <c r="T95" s="136"/>
      <c r="V95" s="64"/>
      <c r="W95" s="64"/>
      <c r="Y95" s="59"/>
      <c r="Z95" s="61"/>
      <c r="AB95" s="61"/>
      <c r="AC95" s="61"/>
    </row>
    <row r="96" spans="2:29" ht="13.2" x14ac:dyDescent="0.25">
      <c r="B96" s="187"/>
      <c r="C96" s="188"/>
      <c r="D96" s="188"/>
      <c r="E96" s="61"/>
      <c r="F96" s="61"/>
      <c r="G96" s="61"/>
      <c r="H96" s="189"/>
      <c r="I96" s="61"/>
      <c r="J96" s="190"/>
      <c r="K96" s="137"/>
      <c r="L96" s="136"/>
      <c r="M96" s="78"/>
      <c r="N96" s="78"/>
      <c r="O96" s="136"/>
      <c r="P96" s="136"/>
      <c r="Q96" s="136"/>
      <c r="R96" s="136"/>
      <c r="S96" s="176"/>
      <c r="T96" s="136"/>
      <c r="V96" s="64"/>
      <c r="W96" s="64"/>
      <c r="Y96" s="59"/>
      <c r="Z96" s="61"/>
      <c r="AB96" s="61"/>
      <c r="AC96" s="61"/>
    </row>
    <row r="97" spans="2:29" ht="13.2" x14ac:dyDescent="0.25">
      <c r="B97" s="187"/>
      <c r="C97" s="188"/>
      <c r="D97" s="188"/>
      <c r="E97" s="61"/>
      <c r="F97" s="61"/>
      <c r="G97" s="61"/>
      <c r="H97" s="189"/>
      <c r="I97" s="61"/>
      <c r="J97" s="190"/>
      <c r="K97" s="137"/>
      <c r="L97" s="136"/>
      <c r="M97" s="78"/>
      <c r="N97" s="78"/>
      <c r="O97" s="136"/>
      <c r="P97" s="136"/>
      <c r="Q97" s="136"/>
      <c r="R97" s="136"/>
      <c r="S97" s="176"/>
      <c r="T97" s="136"/>
      <c r="V97" s="64"/>
      <c r="W97" s="64"/>
      <c r="Y97" s="59"/>
      <c r="Z97" s="61"/>
      <c r="AB97" s="61"/>
      <c r="AC97" s="61"/>
    </row>
    <row r="98" spans="2:29" ht="13.2" x14ac:dyDescent="0.25">
      <c r="B98" s="187"/>
      <c r="C98" s="188"/>
      <c r="D98" s="188"/>
      <c r="E98" s="61"/>
      <c r="F98" s="61"/>
      <c r="G98" s="61"/>
      <c r="H98" s="189"/>
      <c r="I98" s="61"/>
      <c r="J98" s="190"/>
      <c r="K98" s="137"/>
      <c r="L98" s="136"/>
      <c r="M98" s="78"/>
      <c r="N98" s="78"/>
      <c r="O98" s="136"/>
      <c r="P98" s="136"/>
      <c r="Q98" s="136"/>
      <c r="R98" s="136"/>
      <c r="S98" s="176"/>
      <c r="T98" s="136"/>
      <c r="V98" s="64"/>
      <c r="W98" s="64"/>
      <c r="Y98" s="59"/>
      <c r="Z98" s="61"/>
      <c r="AB98" s="61"/>
      <c r="AC98" s="61"/>
    </row>
    <row r="99" spans="2:29" ht="13.2" x14ac:dyDescent="0.25">
      <c r="B99" s="187"/>
      <c r="C99" s="188"/>
      <c r="D99" s="188"/>
      <c r="E99" s="61"/>
      <c r="F99" s="61"/>
      <c r="G99" s="61"/>
      <c r="H99" s="189"/>
      <c r="I99" s="61"/>
      <c r="J99" s="190"/>
      <c r="K99" s="137"/>
      <c r="L99" s="136"/>
      <c r="M99" s="78"/>
      <c r="N99" s="78"/>
      <c r="O99" s="136"/>
      <c r="P99" s="136"/>
      <c r="Q99" s="136"/>
      <c r="R99" s="136"/>
      <c r="S99" s="176"/>
      <c r="T99" s="136"/>
      <c r="V99" s="64"/>
      <c r="W99" s="64"/>
      <c r="Y99" s="59"/>
      <c r="Z99" s="61"/>
      <c r="AB99" s="61"/>
      <c r="AC99" s="61"/>
    </row>
    <row r="100" spans="2:29" ht="13.2" x14ac:dyDescent="0.25">
      <c r="B100" s="187"/>
      <c r="C100" s="188"/>
      <c r="D100" s="188"/>
      <c r="E100" s="61"/>
      <c r="F100" s="61"/>
      <c r="G100" s="61"/>
      <c r="H100" s="189"/>
      <c r="I100" s="61"/>
      <c r="J100" s="190"/>
      <c r="K100" s="137"/>
      <c r="L100" s="136"/>
      <c r="M100" s="78"/>
      <c r="N100" s="78"/>
      <c r="O100" s="136"/>
      <c r="P100" s="136"/>
      <c r="Q100" s="136"/>
      <c r="R100" s="136"/>
      <c r="S100" s="176"/>
      <c r="T100" s="136"/>
      <c r="V100" s="64"/>
      <c r="W100" s="64"/>
      <c r="Y100" s="59"/>
      <c r="Z100" s="61"/>
      <c r="AB100" s="61"/>
      <c r="AC100" s="61"/>
    </row>
  </sheetData>
  <mergeCells count="1">
    <mergeCell ref="I1:J1"/>
  </mergeCells>
  <conditionalFormatting sqref="M2:N32">
    <cfRule type="cellIs" dxfId="1" priority="1" operator="equal">
      <formula>100</formula>
    </cfRule>
  </conditionalFormatting>
  <conditionalFormatting sqref="S2:S26">
    <cfRule type="cellIs" dxfId="0" priority="2" operator="lessThan">
      <formula>3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9"/>
  <sheetViews>
    <sheetView workbookViewId="0"/>
  </sheetViews>
  <sheetFormatPr defaultColWidth="14.44140625" defaultRowHeight="12.75" customHeight="1" x14ac:dyDescent="0.25"/>
  <cols>
    <col min="1" max="1" width="79.6640625" customWidth="1"/>
    <col min="2" max="2" width="15.44140625" customWidth="1"/>
    <col min="3" max="3" width="17.33203125" customWidth="1"/>
    <col min="4" max="4" width="18.6640625" customWidth="1"/>
    <col min="5" max="5" width="21.6640625" customWidth="1"/>
    <col min="6" max="20" width="17.33203125" customWidth="1"/>
  </cols>
  <sheetData>
    <row r="1" spans="1:6" ht="67.2" customHeight="1" x14ac:dyDescent="0.25">
      <c r="A1" s="84" t="s">
        <v>347</v>
      </c>
      <c r="B1" s="85" t="s">
        <v>349</v>
      </c>
      <c r="C1" s="86"/>
      <c r="D1" s="87" t="s">
        <v>350</v>
      </c>
      <c r="E1" s="88"/>
    </row>
    <row r="2" spans="1:6" ht="54" customHeight="1" x14ac:dyDescent="0.25">
      <c r="A2" s="89" t="s">
        <v>351</v>
      </c>
      <c r="B2" s="90">
        <v>77.5</v>
      </c>
      <c r="C2" s="91"/>
      <c r="D2" s="92">
        <f t="shared" ref="D2:E2" si="0">B2*26.086-1278.3</f>
        <v>743.36500000000001</v>
      </c>
      <c r="E2" s="94">
        <f t="shared" si="0"/>
        <v>-1278.3</v>
      </c>
      <c r="F2" s="72"/>
    </row>
    <row r="3" spans="1:6" ht="53.4" x14ac:dyDescent="0.3">
      <c r="A3" s="96" t="s">
        <v>354</v>
      </c>
      <c r="B3" s="97" t="s">
        <v>356</v>
      </c>
      <c r="C3" s="98" t="s">
        <v>357</v>
      </c>
      <c r="D3" s="100" t="s">
        <v>358</v>
      </c>
      <c r="E3" s="101" t="s">
        <v>361</v>
      </c>
    </row>
    <row r="4" spans="1:6" ht="51" customHeight="1" x14ac:dyDescent="0.25">
      <c r="A4" s="102" t="s">
        <v>364</v>
      </c>
      <c r="B4" s="103">
        <v>1000</v>
      </c>
      <c r="C4" s="103">
        <v>92</v>
      </c>
      <c r="D4" s="104">
        <f>B4*(6.04-0.06*C4)</f>
        <v>520.00000000000045</v>
      </c>
      <c r="E4" s="105" t="s">
        <v>369</v>
      </c>
    </row>
    <row r="5" spans="1:6" ht="53.4" customHeight="1" x14ac:dyDescent="0.25">
      <c r="A5" s="106" t="s">
        <v>370</v>
      </c>
      <c r="B5" s="107"/>
      <c r="C5" s="107"/>
      <c r="D5" s="109">
        <f>B4*(6.04-0.06*C4)</f>
        <v>520.00000000000045</v>
      </c>
    </row>
    <row r="6" spans="1:6" ht="31.2" customHeight="1" x14ac:dyDescent="0.4">
      <c r="A6" s="195" t="s">
        <v>373</v>
      </c>
      <c r="B6" s="196"/>
      <c r="C6" s="196"/>
      <c r="D6" s="196"/>
    </row>
    <row r="7" spans="1:6" ht="54" customHeight="1" x14ac:dyDescent="0.25">
      <c r="A7" s="110" t="s">
        <v>374</v>
      </c>
      <c r="B7" s="112" t="s">
        <v>349</v>
      </c>
      <c r="C7" s="114"/>
      <c r="D7" s="116" t="s">
        <v>380</v>
      </c>
    </row>
    <row r="8" spans="1:6" ht="30" customHeight="1" x14ac:dyDescent="0.25">
      <c r="A8" s="118" t="s">
        <v>382</v>
      </c>
      <c r="B8" s="197">
        <v>93</v>
      </c>
      <c r="C8" s="121">
        <f>(B8-83.76)/5.69</f>
        <v>1.6239015817223188</v>
      </c>
      <c r="D8" s="198">
        <f>35.86-36.91*C8+18.7*C8^2-5.02*C8^3+0.51*C8^4</f>
        <v>7.2840737951394896</v>
      </c>
    </row>
    <row r="9" spans="1:6" ht="27" customHeight="1" x14ac:dyDescent="0.25">
      <c r="A9" s="118" t="s">
        <v>386</v>
      </c>
      <c r="B9" s="196"/>
      <c r="C9" s="122"/>
      <c r="D9" s="196"/>
    </row>
    <row r="10" spans="1:6" ht="15.6" x14ac:dyDescent="0.25">
      <c r="B10" s="107"/>
      <c r="C10" s="107"/>
      <c r="D10" s="109">
        <f t="shared" ref="D10:D18" si="1">B9*(6.04-0.06*C9)</f>
        <v>0</v>
      </c>
    </row>
    <row r="11" spans="1:6" ht="15.6" x14ac:dyDescent="0.25">
      <c r="B11" s="107"/>
      <c r="C11" s="107"/>
      <c r="D11" s="109">
        <f t="shared" si="1"/>
        <v>0</v>
      </c>
    </row>
    <row r="12" spans="1:6" ht="15.6" x14ac:dyDescent="0.25">
      <c r="B12" s="107"/>
      <c r="C12" s="107"/>
      <c r="D12" s="109">
        <f t="shared" si="1"/>
        <v>0</v>
      </c>
    </row>
    <row r="13" spans="1:6" ht="15.6" x14ac:dyDescent="0.25">
      <c r="B13" s="107"/>
      <c r="C13" s="107"/>
      <c r="D13" s="109">
        <f t="shared" si="1"/>
        <v>0</v>
      </c>
    </row>
    <row r="14" spans="1:6" ht="15.6" x14ac:dyDescent="0.25">
      <c r="B14" s="107"/>
      <c r="C14" s="107"/>
      <c r="D14" s="109">
        <f t="shared" si="1"/>
        <v>0</v>
      </c>
    </row>
    <row r="15" spans="1:6" ht="15.6" x14ac:dyDescent="0.25">
      <c r="B15" s="107"/>
      <c r="C15" s="107"/>
      <c r="D15" s="109">
        <f t="shared" si="1"/>
        <v>0</v>
      </c>
    </row>
    <row r="16" spans="1:6" ht="15.6" x14ac:dyDescent="0.25">
      <c r="B16" s="107"/>
      <c r="C16" s="107"/>
      <c r="D16" s="109">
        <f t="shared" si="1"/>
        <v>0</v>
      </c>
    </row>
    <row r="17" spans="2:4" ht="15.6" x14ac:dyDescent="0.25">
      <c r="B17" s="107"/>
      <c r="C17" s="107"/>
      <c r="D17" s="109">
        <f t="shared" si="1"/>
        <v>0</v>
      </c>
    </row>
    <row r="18" spans="2:4" ht="15.6" x14ac:dyDescent="0.25">
      <c r="B18" s="107"/>
      <c r="C18" s="107"/>
      <c r="D18" s="109">
        <f t="shared" si="1"/>
        <v>0</v>
      </c>
    </row>
    <row r="19" spans="2:4" ht="15.6" x14ac:dyDescent="0.25">
      <c r="B19" s="107"/>
      <c r="C19" s="107"/>
      <c r="D19" s="123"/>
    </row>
    <row r="20" spans="2:4" ht="15.6" x14ac:dyDescent="0.25">
      <c r="B20" s="107"/>
      <c r="C20" s="107"/>
      <c r="D20" s="123"/>
    </row>
    <row r="21" spans="2:4" ht="15.6" x14ac:dyDescent="0.25">
      <c r="B21" s="107"/>
      <c r="C21" s="107"/>
      <c r="D21" s="123"/>
    </row>
    <row r="22" spans="2:4" ht="15.6" x14ac:dyDescent="0.25">
      <c r="B22" s="107"/>
      <c r="C22" s="107"/>
      <c r="D22" s="123"/>
    </row>
    <row r="23" spans="2:4" ht="15.6" x14ac:dyDescent="0.25">
      <c r="B23" s="107"/>
      <c r="C23" s="107"/>
      <c r="D23" s="123"/>
    </row>
    <row r="24" spans="2:4" ht="15.6" x14ac:dyDescent="0.25">
      <c r="B24" s="107"/>
      <c r="C24" s="107"/>
      <c r="D24" s="123"/>
    </row>
    <row r="25" spans="2:4" ht="15.6" x14ac:dyDescent="0.25">
      <c r="B25" s="107"/>
      <c r="C25" s="107"/>
      <c r="D25" s="123"/>
    </row>
    <row r="26" spans="2:4" ht="15.6" x14ac:dyDescent="0.25">
      <c r="B26" s="107"/>
      <c r="C26" s="107"/>
      <c r="D26" s="123"/>
    </row>
    <row r="27" spans="2:4" ht="15.6" x14ac:dyDescent="0.25">
      <c r="B27" s="107"/>
      <c r="C27" s="107"/>
      <c r="D27" s="123"/>
    </row>
    <row r="28" spans="2:4" ht="15.6" x14ac:dyDescent="0.25">
      <c r="B28" s="107"/>
      <c r="C28" s="107"/>
      <c r="D28" s="123"/>
    </row>
    <row r="29" spans="2:4" ht="15.6" x14ac:dyDescent="0.25">
      <c r="B29" s="107"/>
      <c r="C29" s="107"/>
      <c r="D29" s="123"/>
    </row>
    <row r="30" spans="2:4" ht="15.6" x14ac:dyDescent="0.25">
      <c r="B30" s="107"/>
      <c r="C30" s="107"/>
      <c r="D30" s="123"/>
    </row>
    <row r="31" spans="2:4" ht="15.6" x14ac:dyDescent="0.25">
      <c r="B31" s="107"/>
      <c r="C31" s="107"/>
      <c r="D31" s="123"/>
    </row>
    <row r="32" spans="2:4" ht="15.6" x14ac:dyDescent="0.25">
      <c r="B32" s="107"/>
      <c r="C32" s="107"/>
      <c r="D32" s="123"/>
    </row>
    <row r="33" spans="2:4" ht="15.6" x14ac:dyDescent="0.25">
      <c r="B33" s="107"/>
      <c r="C33" s="107"/>
      <c r="D33" s="123"/>
    </row>
    <row r="34" spans="2:4" ht="15.6" x14ac:dyDescent="0.25">
      <c r="B34" s="107"/>
      <c r="C34" s="107"/>
      <c r="D34" s="123"/>
    </row>
    <row r="35" spans="2:4" ht="15.6" x14ac:dyDescent="0.25">
      <c r="B35" s="107"/>
      <c r="C35" s="107"/>
      <c r="D35" s="123"/>
    </row>
    <row r="36" spans="2:4" ht="15.6" x14ac:dyDescent="0.25">
      <c r="B36" s="107"/>
      <c r="C36" s="107"/>
      <c r="D36" s="123"/>
    </row>
    <row r="37" spans="2:4" ht="15.6" x14ac:dyDescent="0.25">
      <c r="B37" s="107"/>
      <c r="C37" s="107"/>
      <c r="D37" s="123"/>
    </row>
    <row r="38" spans="2:4" ht="15.6" x14ac:dyDescent="0.25">
      <c r="B38" s="107"/>
      <c r="C38" s="107"/>
      <c r="D38" s="123"/>
    </row>
    <row r="39" spans="2:4" ht="15.6" x14ac:dyDescent="0.25">
      <c r="B39" s="107"/>
      <c r="C39" s="107"/>
      <c r="D39" s="123"/>
    </row>
    <row r="40" spans="2:4" ht="15.6" x14ac:dyDescent="0.25">
      <c r="B40" s="107"/>
      <c r="C40" s="107"/>
      <c r="D40" s="123"/>
    </row>
    <row r="41" spans="2:4" ht="15.6" x14ac:dyDescent="0.25">
      <c r="B41" s="107"/>
      <c r="C41" s="107"/>
      <c r="D41" s="123"/>
    </row>
    <row r="42" spans="2:4" ht="15.6" x14ac:dyDescent="0.25">
      <c r="B42" s="107"/>
      <c r="C42" s="107"/>
      <c r="D42" s="123"/>
    </row>
    <row r="43" spans="2:4" ht="15.6" x14ac:dyDescent="0.25">
      <c r="B43" s="107"/>
      <c r="C43" s="107"/>
      <c r="D43" s="123"/>
    </row>
    <row r="44" spans="2:4" ht="15.6" x14ac:dyDescent="0.25">
      <c r="B44" s="107"/>
      <c r="C44" s="107"/>
      <c r="D44" s="123"/>
    </row>
    <row r="45" spans="2:4" ht="15.6" x14ac:dyDescent="0.25">
      <c r="B45" s="107"/>
      <c r="C45" s="107"/>
      <c r="D45" s="123"/>
    </row>
    <row r="46" spans="2:4" ht="15.6" x14ac:dyDescent="0.25">
      <c r="B46" s="107"/>
      <c r="C46" s="107"/>
      <c r="D46" s="123"/>
    </row>
    <row r="47" spans="2:4" ht="15.6" x14ac:dyDescent="0.25">
      <c r="B47" s="107"/>
      <c r="C47" s="107"/>
      <c r="D47" s="123"/>
    </row>
    <row r="48" spans="2:4" ht="15.6" x14ac:dyDescent="0.25">
      <c r="B48" s="107"/>
      <c r="C48" s="107"/>
      <c r="D48" s="123"/>
    </row>
    <row r="49" spans="2:4" ht="15.6" x14ac:dyDescent="0.25">
      <c r="B49" s="107"/>
      <c r="C49" s="107"/>
      <c r="D49" s="123"/>
    </row>
    <row r="50" spans="2:4" ht="15.6" x14ac:dyDescent="0.25">
      <c r="B50" s="107"/>
      <c r="C50" s="107"/>
      <c r="D50" s="123"/>
    </row>
    <row r="51" spans="2:4" ht="15.6" x14ac:dyDescent="0.25">
      <c r="B51" s="107"/>
      <c r="C51" s="107"/>
      <c r="D51" s="123"/>
    </row>
    <row r="52" spans="2:4" ht="15.6" x14ac:dyDescent="0.25">
      <c r="B52" s="107"/>
      <c r="C52" s="107"/>
      <c r="D52" s="123"/>
    </row>
    <row r="53" spans="2:4" ht="15.6" x14ac:dyDescent="0.25">
      <c r="B53" s="107"/>
      <c r="C53" s="107"/>
      <c r="D53" s="123"/>
    </row>
    <row r="54" spans="2:4" ht="15.6" x14ac:dyDescent="0.25">
      <c r="B54" s="107"/>
      <c r="C54" s="107"/>
      <c r="D54" s="123"/>
    </row>
    <row r="55" spans="2:4" ht="15.6" x14ac:dyDescent="0.25">
      <c r="B55" s="107"/>
      <c r="C55" s="107"/>
      <c r="D55" s="123"/>
    </row>
    <row r="56" spans="2:4" ht="15.6" x14ac:dyDescent="0.25">
      <c r="B56" s="107"/>
      <c r="C56" s="107"/>
      <c r="D56" s="123"/>
    </row>
    <row r="57" spans="2:4" ht="15.6" x14ac:dyDescent="0.25">
      <c r="B57" s="107"/>
      <c r="C57" s="107"/>
      <c r="D57" s="123"/>
    </row>
    <row r="58" spans="2:4" ht="15.6" x14ac:dyDescent="0.25">
      <c r="B58" s="107"/>
      <c r="C58" s="107"/>
      <c r="D58" s="123"/>
    </row>
    <row r="59" spans="2:4" ht="15.6" x14ac:dyDescent="0.25">
      <c r="B59" s="107"/>
      <c r="C59" s="107"/>
      <c r="D59" s="123"/>
    </row>
    <row r="60" spans="2:4" ht="15.6" x14ac:dyDescent="0.25">
      <c r="B60" s="107"/>
      <c r="C60" s="107"/>
      <c r="D60" s="123"/>
    </row>
    <row r="61" spans="2:4" ht="15.6" x14ac:dyDescent="0.25">
      <c r="B61" s="107"/>
      <c r="C61" s="107"/>
      <c r="D61" s="123"/>
    </row>
    <row r="62" spans="2:4" ht="15.6" x14ac:dyDescent="0.25">
      <c r="B62" s="107"/>
      <c r="C62" s="107"/>
      <c r="D62" s="123"/>
    </row>
    <row r="63" spans="2:4" ht="15.6" x14ac:dyDescent="0.25">
      <c r="B63" s="107"/>
      <c r="C63" s="107"/>
      <c r="D63" s="123"/>
    </row>
    <row r="64" spans="2:4" ht="15.6" x14ac:dyDescent="0.25">
      <c r="B64" s="107"/>
      <c r="C64" s="107"/>
      <c r="D64" s="123"/>
    </row>
    <row r="65" spans="2:4" ht="15.6" x14ac:dyDescent="0.25">
      <c r="B65" s="107"/>
      <c r="C65" s="107"/>
      <c r="D65" s="123"/>
    </row>
    <row r="66" spans="2:4" ht="15.6" x14ac:dyDescent="0.25">
      <c r="B66" s="107"/>
      <c r="C66" s="107"/>
      <c r="D66" s="123"/>
    </row>
    <row r="67" spans="2:4" ht="15.6" x14ac:dyDescent="0.25">
      <c r="B67" s="107"/>
      <c r="C67" s="107"/>
      <c r="D67" s="123"/>
    </row>
    <row r="68" spans="2:4" ht="15.6" x14ac:dyDescent="0.25">
      <c r="B68" s="107"/>
      <c r="C68" s="107"/>
      <c r="D68" s="123"/>
    </row>
    <row r="69" spans="2:4" ht="15.6" x14ac:dyDescent="0.25">
      <c r="B69" s="107"/>
      <c r="C69" s="107"/>
      <c r="D69" s="123"/>
    </row>
    <row r="70" spans="2:4" ht="15.6" x14ac:dyDescent="0.25">
      <c r="B70" s="107"/>
      <c r="C70" s="107"/>
      <c r="D70" s="123"/>
    </row>
    <row r="71" spans="2:4" ht="15.6" x14ac:dyDescent="0.25">
      <c r="B71" s="107"/>
      <c r="C71" s="107"/>
      <c r="D71" s="123"/>
    </row>
    <row r="72" spans="2:4" ht="15.6" x14ac:dyDescent="0.25">
      <c r="B72" s="107"/>
      <c r="C72" s="107"/>
      <c r="D72" s="123"/>
    </row>
    <row r="73" spans="2:4" ht="15.6" x14ac:dyDescent="0.25">
      <c r="B73" s="107"/>
      <c r="C73" s="107"/>
      <c r="D73" s="123"/>
    </row>
    <row r="74" spans="2:4" ht="15.6" x14ac:dyDescent="0.25">
      <c r="B74" s="107"/>
      <c r="C74" s="107"/>
      <c r="D74" s="123"/>
    </row>
    <row r="75" spans="2:4" ht="15.6" x14ac:dyDescent="0.25">
      <c r="B75" s="107"/>
      <c r="C75" s="107"/>
      <c r="D75" s="123"/>
    </row>
    <row r="76" spans="2:4" ht="15.6" x14ac:dyDescent="0.25">
      <c r="B76" s="107"/>
      <c r="C76" s="107"/>
      <c r="D76" s="123"/>
    </row>
    <row r="77" spans="2:4" ht="15.6" x14ac:dyDescent="0.25">
      <c r="B77" s="107"/>
      <c r="C77" s="107"/>
      <c r="D77" s="123"/>
    </row>
    <row r="78" spans="2:4" ht="15.6" x14ac:dyDescent="0.25">
      <c r="B78" s="107"/>
      <c r="C78" s="107"/>
      <c r="D78" s="123"/>
    </row>
    <row r="79" spans="2:4" ht="15.6" x14ac:dyDescent="0.25">
      <c r="B79" s="107"/>
      <c r="C79" s="107"/>
      <c r="D79" s="123"/>
    </row>
    <row r="80" spans="2:4" ht="15.6" x14ac:dyDescent="0.25">
      <c r="B80" s="107"/>
      <c r="C80" s="107"/>
      <c r="D80" s="123"/>
    </row>
    <row r="81" spans="2:4" ht="15.6" x14ac:dyDescent="0.25">
      <c r="B81" s="107"/>
      <c r="C81" s="107"/>
      <c r="D81" s="123"/>
    </row>
    <row r="82" spans="2:4" ht="15.6" x14ac:dyDescent="0.25">
      <c r="B82" s="107"/>
      <c r="C82" s="107"/>
      <c r="D82" s="123"/>
    </row>
    <row r="83" spans="2:4" ht="15.6" x14ac:dyDescent="0.25">
      <c r="B83" s="107"/>
      <c r="C83" s="107"/>
      <c r="D83" s="123"/>
    </row>
    <row r="84" spans="2:4" ht="15.6" x14ac:dyDescent="0.25">
      <c r="B84" s="107"/>
      <c r="C84" s="107"/>
      <c r="D84" s="123"/>
    </row>
    <row r="85" spans="2:4" ht="15.6" x14ac:dyDescent="0.25">
      <c r="B85" s="107"/>
      <c r="C85" s="107"/>
      <c r="D85" s="123"/>
    </row>
    <row r="86" spans="2:4" ht="15.6" x14ac:dyDescent="0.25">
      <c r="B86" s="107"/>
      <c r="C86" s="107"/>
      <c r="D86" s="123"/>
    </row>
    <row r="87" spans="2:4" ht="15.6" x14ac:dyDescent="0.25">
      <c r="B87" s="107"/>
      <c r="C87" s="107"/>
      <c r="D87" s="123"/>
    </row>
    <row r="88" spans="2:4" ht="15.6" x14ac:dyDescent="0.25">
      <c r="B88" s="107"/>
      <c r="C88" s="107"/>
      <c r="D88" s="123"/>
    </row>
    <row r="89" spans="2:4" ht="15.6" x14ac:dyDescent="0.25">
      <c r="B89" s="107"/>
      <c r="C89" s="107"/>
      <c r="D89" s="123"/>
    </row>
    <row r="90" spans="2:4" ht="15.6" x14ac:dyDescent="0.25">
      <c r="B90" s="107"/>
      <c r="C90" s="107"/>
      <c r="D90" s="123"/>
    </row>
    <row r="91" spans="2:4" ht="15.6" x14ac:dyDescent="0.25">
      <c r="B91" s="107"/>
      <c r="C91" s="107"/>
      <c r="D91" s="123"/>
    </row>
    <row r="92" spans="2:4" ht="15.6" x14ac:dyDescent="0.25">
      <c r="B92" s="107"/>
      <c r="C92" s="107"/>
      <c r="D92" s="123"/>
    </row>
    <row r="93" spans="2:4" ht="15.6" x14ac:dyDescent="0.25">
      <c r="B93" s="107"/>
      <c r="C93" s="107"/>
      <c r="D93" s="123"/>
    </row>
    <row r="94" spans="2:4" ht="15.6" x14ac:dyDescent="0.25">
      <c r="B94" s="107"/>
      <c r="C94" s="107"/>
      <c r="D94" s="123"/>
    </row>
    <row r="95" spans="2:4" ht="15.6" x14ac:dyDescent="0.25">
      <c r="B95" s="107"/>
      <c r="C95" s="107"/>
      <c r="D95" s="123"/>
    </row>
    <row r="96" spans="2:4" ht="15.6" x14ac:dyDescent="0.25">
      <c r="B96" s="107"/>
      <c r="C96" s="107"/>
      <c r="D96" s="123"/>
    </row>
    <row r="97" spans="2:4" ht="15.6" x14ac:dyDescent="0.25">
      <c r="B97" s="107"/>
      <c r="C97" s="107"/>
      <c r="D97" s="123"/>
    </row>
    <row r="98" spans="2:4" ht="15.6" x14ac:dyDescent="0.25">
      <c r="B98" s="107"/>
      <c r="C98" s="107"/>
      <c r="D98" s="123"/>
    </row>
    <row r="99" spans="2:4" ht="15.6" x14ac:dyDescent="0.25">
      <c r="B99" s="107"/>
      <c r="C99" s="107"/>
      <c r="D99" s="123"/>
    </row>
  </sheetData>
  <mergeCells count="3">
    <mergeCell ref="A6:D6"/>
    <mergeCell ref="B8:B9"/>
    <mergeCell ref="D8:D9"/>
  </mergeCells>
  <hyperlinks>
    <hyperlink ref="E4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8"/>
  <sheetViews>
    <sheetView workbookViewId="0">
      <selection activeCell="D3" sqref="D3:E3"/>
    </sheetView>
  </sheetViews>
  <sheetFormatPr defaultColWidth="14.44140625" defaultRowHeight="12.75" customHeight="1" x14ac:dyDescent="0.25"/>
  <cols>
    <col min="1" max="20" width="17.33203125" customWidth="1"/>
  </cols>
  <sheetData>
    <row r="1" spans="1:5" ht="48" customHeight="1" x14ac:dyDescent="0.25">
      <c r="A1" s="202" t="s">
        <v>348</v>
      </c>
      <c r="B1" s="196"/>
      <c r="C1" s="196"/>
      <c r="D1" s="196"/>
      <c r="E1" s="196"/>
    </row>
    <row r="2" spans="1:5" ht="55.5" customHeight="1" x14ac:dyDescent="0.25">
      <c r="A2" s="203" t="s">
        <v>352</v>
      </c>
      <c r="B2" s="196"/>
      <c r="C2" s="196"/>
      <c r="D2" s="199">
        <v>800</v>
      </c>
      <c r="E2" s="196"/>
    </row>
    <row r="3" spans="1:5" ht="17.399999999999999" x14ac:dyDescent="0.3">
      <c r="A3" s="93"/>
      <c r="B3" s="93"/>
      <c r="C3" s="93"/>
      <c r="D3" s="200" t="s">
        <v>353</v>
      </c>
      <c r="E3" s="196"/>
    </row>
    <row r="4" spans="1:5" ht="17.399999999999999" x14ac:dyDescent="0.3">
      <c r="A4" s="201" t="s">
        <v>355</v>
      </c>
      <c r="B4" s="196"/>
      <c r="C4" s="196"/>
      <c r="D4" s="99">
        <f>D2/0.4/1000</f>
        <v>2</v>
      </c>
      <c r="E4" s="95" t="s">
        <v>359</v>
      </c>
    </row>
    <row r="5" spans="1:5" ht="17.399999999999999" x14ac:dyDescent="0.3">
      <c r="A5" s="201" t="s">
        <v>360</v>
      </c>
      <c r="B5" s="196"/>
      <c r="C5" s="196"/>
      <c r="D5" s="99">
        <f>D4*0.7</f>
        <v>1.4</v>
      </c>
      <c r="E5" s="95" t="s">
        <v>362</v>
      </c>
    </row>
    <row r="6" spans="1:5" ht="17.399999999999999" x14ac:dyDescent="0.3">
      <c r="A6" s="201" t="s">
        <v>363</v>
      </c>
      <c r="B6" s="196"/>
      <c r="C6" s="196"/>
      <c r="D6" s="99">
        <f>D5/35*1000</f>
        <v>40</v>
      </c>
      <c r="E6" s="95" t="s">
        <v>365</v>
      </c>
    </row>
    <row r="7" spans="1:5" ht="17.399999999999999" x14ac:dyDescent="0.3">
      <c r="A7" s="201" t="s">
        <v>366</v>
      </c>
      <c r="B7" s="196"/>
      <c r="C7" s="196"/>
      <c r="D7" s="99">
        <f>D6*25</f>
        <v>1000</v>
      </c>
      <c r="E7" s="95" t="s">
        <v>367</v>
      </c>
    </row>
    <row r="8" spans="1:5" ht="17.399999999999999" x14ac:dyDescent="0.3">
      <c r="A8" s="201" t="s">
        <v>368</v>
      </c>
      <c r="B8" s="196"/>
      <c r="C8" s="196"/>
      <c r="D8" s="99">
        <f>D2*1.3</f>
        <v>1040</v>
      </c>
      <c r="E8" s="95" t="s">
        <v>367</v>
      </c>
    </row>
  </sheetData>
  <mergeCells count="9">
    <mergeCell ref="A7:C7"/>
    <mergeCell ref="A8:C8"/>
    <mergeCell ref="A1:E1"/>
    <mergeCell ref="A2:C2"/>
    <mergeCell ref="D2:E2"/>
    <mergeCell ref="D3:E3"/>
    <mergeCell ref="A5:C5"/>
    <mergeCell ref="A4:C4"/>
    <mergeCell ref="A6:C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01"/>
  <sheetViews>
    <sheetView workbookViewId="0">
      <selection sqref="A1:C1"/>
    </sheetView>
  </sheetViews>
  <sheetFormatPr defaultColWidth="14.44140625" defaultRowHeight="12.75" customHeight="1" x14ac:dyDescent="0.25"/>
  <cols>
    <col min="1" max="1" width="36.5546875" customWidth="1"/>
    <col min="2" max="20" width="17.33203125" customWidth="1"/>
  </cols>
  <sheetData>
    <row r="1" spans="1:3" ht="12.75" customHeight="1" x14ac:dyDescent="0.25">
      <c r="A1" s="204" t="s">
        <v>371</v>
      </c>
      <c r="B1" s="196"/>
      <c r="C1" s="196"/>
    </row>
    <row r="2" spans="1:3" ht="12.75" customHeight="1" x14ac:dyDescent="0.25">
      <c r="A2" s="111" t="s">
        <v>372</v>
      </c>
      <c r="B2" s="108" t="s">
        <v>375</v>
      </c>
      <c r="C2" s="108">
        <v>1.65</v>
      </c>
    </row>
    <row r="3" spans="1:3" ht="12.75" customHeight="1" x14ac:dyDescent="0.25">
      <c r="A3" s="111" t="s">
        <v>376</v>
      </c>
      <c r="B3" s="108" t="s">
        <v>377</v>
      </c>
      <c r="C3" s="108">
        <v>736.5</v>
      </c>
    </row>
    <row r="4" spans="1:3" ht="12.75" customHeight="1" x14ac:dyDescent="0.25">
      <c r="A4" s="113" t="s">
        <v>378</v>
      </c>
      <c r="B4" s="115" t="s">
        <v>379</v>
      </c>
      <c r="C4" s="108">
        <v>215</v>
      </c>
    </row>
    <row r="5" spans="1:3" ht="12.75" customHeight="1" x14ac:dyDescent="0.25">
      <c r="A5" s="117" t="s">
        <v>381</v>
      </c>
      <c r="B5" s="119" t="s">
        <v>383</v>
      </c>
      <c r="C5" s="108">
        <v>0.7893</v>
      </c>
    </row>
    <row r="6" spans="1:3" ht="12.75" customHeight="1" x14ac:dyDescent="0.25">
      <c r="A6" s="111" t="s">
        <v>384</v>
      </c>
      <c r="B6" s="108" t="s">
        <v>385</v>
      </c>
      <c r="C6" s="108">
        <v>500000</v>
      </c>
    </row>
    <row r="7" spans="1:3" ht="12.75" customHeight="1" x14ac:dyDescent="0.25">
      <c r="A7" s="120"/>
      <c r="B7" s="78"/>
      <c r="C7" s="78"/>
    </row>
    <row r="8" spans="1:3" ht="12.75" customHeight="1" x14ac:dyDescent="0.25">
      <c r="A8" s="120"/>
      <c r="B8" s="78"/>
      <c r="C8" s="78"/>
    </row>
    <row r="9" spans="1:3" ht="12.75" customHeight="1" x14ac:dyDescent="0.25">
      <c r="A9" s="120"/>
      <c r="B9" s="78"/>
      <c r="C9" s="78"/>
    </row>
    <row r="10" spans="1:3" ht="12.75" customHeight="1" x14ac:dyDescent="0.25">
      <c r="A10" s="120"/>
      <c r="B10" s="78"/>
      <c r="C10" s="78"/>
    </row>
    <row r="11" spans="1:3" ht="12.75" customHeight="1" x14ac:dyDescent="0.25">
      <c r="A11" s="120"/>
      <c r="B11" s="78"/>
      <c r="C11" s="78"/>
    </row>
    <row r="12" spans="1:3" ht="12.75" customHeight="1" x14ac:dyDescent="0.25">
      <c r="A12" s="120"/>
      <c r="B12" s="78"/>
      <c r="C12" s="78"/>
    </row>
    <row r="13" spans="1:3" ht="12.75" customHeight="1" x14ac:dyDescent="0.25">
      <c r="A13" s="120"/>
      <c r="B13" s="78"/>
      <c r="C13" s="78"/>
    </row>
    <row r="14" spans="1:3" ht="12.75" customHeight="1" x14ac:dyDescent="0.25">
      <c r="A14" s="120"/>
      <c r="B14" s="78"/>
      <c r="C14" s="78"/>
    </row>
    <row r="15" spans="1:3" ht="12.75" customHeight="1" x14ac:dyDescent="0.25">
      <c r="A15" s="120"/>
      <c r="B15" s="78"/>
      <c r="C15" s="78"/>
    </row>
    <row r="16" spans="1:3" ht="12.75" customHeight="1" x14ac:dyDescent="0.25">
      <c r="A16" s="120"/>
      <c r="B16" s="78"/>
      <c r="C16" s="78"/>
    </row>
    <row r="17" spans="1:3" ht="12.75" customHeight="1" x14ac:dyDescent="0.25">
      <c r="A17" s="120"/>
      <c r="B17" s="78"/>
      <c r="C17" s="78"/>
    </row>
    <row r="18" spans="1:3" ht="12.75" customHeight="1" x14ac:dyDescent="0.25">
      <c r="A18" s="120"/>
      <c r="B18" s="78"/>
      <c r="C18" s="78"/>
    </row>
    <row r="19" spans="1:3" ht="12.75" customHeight="1" x14ac:dyDescent="0.25">
      <c r="A19" s="120"/>
      <c r="B19" s="78"/>
      <c r="C19" s="78"/>
    </row>
    <row r="20" spans="1:3" ht="12.75" customHeight="1" x14ac:dyDescent="0.25">
      <c r="A20" s="120"/>
      <c r="B20" s="78"/>
      <c r="C20" s="78"/>
    </row>
    <row r="21" spans="1:3" ht="12.75" customHeight="1" x14ac:dyDescent="0.25">
      <c r="A21" s="120"/>
      <c r="B21" s="78"/>
      <c r="C21" s="78"/>
    </row>
    <row r="22" spans="1:3" ht="12.75" customHeight="1" x14ac:dyDescent="0.25">
      <c r="A22" s="120"/>
      <c r="B22" s="78"/>
      <c r="C22" s="78"/>
    </row>
    <row r="23" spans="1:3" ht="12.75" customHeight="1" x14ac:dyDescent="0.25">
      <c r="A23" s="120"/>
      <c r="B23" s="78"/>
      <c r="C23" s="78"/>
    </row>
    <row r="24" spans="1:3" ht="12.75" customHeight="1" x14ac:dyDescent="0.25">
      <c r="A24" s="120"/>
      <c r="B24" s="78"/>
      <c r="C24" s="78"/>
    </row>
    <row r="25" spans="1:3" ht="12.75" customHeight="1" x14ac:dyDescent="0.25">
      <c r="A25" s="120"/>
      <c r="B25" s="78"/>
      <c r="C25" s="78"/>
    </row>
    <row r="26" spans="1:3" ht="12.75" customHeight="1" x14ac:dyDescent="0.25">
      <c r="A26" s="120"/>
      <c r="B26" s="78"/>
      <c r="C26" s="78"/>
    </row>
    <row r="27" spans="1:3" ht="12.75" customHeight="1" x14ac:dyDescent="0.25">
      <c r="A27" s="120"/>
      <c r="B27" s="78"/>
      <c r="C27" s="78"/>
    </row>
    <row r="28" spans="1:3" ht="12.75" customHeight="1" x14ac:dyDescent="0.25">
      <c r="A28" s="120"/>
      <c r="B28" s="78"/>
      <c r="C28" s="78"/>
    </row>
    <row r="29" spans="1:3" ht="12.75" customHeight="1" x14ac:dyDescent="0.25">
      <c r="A29" s="120"/>
      <c r="B29" s="78"/>
      <c r="C29" s="78"/>
    </row>
    <row r="30" spans="1:3" ht="12.75" customHeight="1" x14ac:dyDescent="0.25">
      <c r="A30" s="120"/>
      <c r="B30" s="78"/>
      <c r="C30" s="78"/>
    </row>
    <row r="31" spans="1:3" ht="12.75" customHeight="1" x14ac:dyDescent="0.25">
      <c r="A31" s="120"/>
      <c r="B31" s="78"/>
      <c r="C31" s="78"/>
    </row>
    <row r="32" spans="1:3" ht="12.75" customHeight="1" x14ac:dyDescent="0.25">
      <c r="A32" s="120"/>
      <c r="B32" s="78"/>
      <c r="C32" s="78"/>
    </row>
    <row r="33" spans="1:3" ht="12.75" customHeight="1" x14ac:dyDescent="0.25">
      <c r="A33" s="120"/>
      <c r="B33" s="78"/>
      <c r="C33" s="78"/>
    </row>
    <row r="34" spans="1:3" ht="12.75" customHeight="1" x14ac:dyDescent="0.25">
      <c r="A34" s="120"/>
      <c r="B34" s="78"/>
      <c r="C34" s="78"/>
    </row>
    <row r="35" spans="1:3" ht="12.75" customHeight="1" x14ac:dyDescent="0.25">
      <c r="A35" s="120"/>
      <c r="B35" s="78"/>
      <c r="C35" s="78"/>
    </row>
    <row r="36" spans="1:3" ht="13.2" x14ac:dyDescent="0.25">
      <c r="A36" s="120"/>
      <c r="B36" s="78"/>
      <c r="C36" s="78"/>
    </row>
    <row r="37" spans="1:3" ht="13.2" x14ac:dyDescent="0.25">
      <c r="A37" s="120"/>
      <c r="B37" s="78"/>
      <c r="C37" s="78"/>
    </row>
    <row r="38" spans="1:3" ht="13.2" x14ac:dyDescent="0.25">
      <c r="A38" s="120"/>
      <c r="B38" s="78"/>
      <c r="C38" s="78"/>
    </row>
    <row r="39" spans="1:3" ht="13.2" x14ac:dyDescent="0.25">
      <c r="A39" s="120"/>
      <c r="B39" s="78"/>
      <c r="C39" s="78"/>
    </row>
    <row r="40" spans="1:3" ht="13.2" x14ac:dyDescent="0.25">
      <c r="A40" s="120"/>
      <c r="B40" s="78"/>
      <c r="C40" s="78"/>
    </row>
    <row r="41" spans="1:3" ht="13.2" x14ac:dyDescent="0.25">
      <c r="A41" s="120"/>
      <c r="B41" s="78"/>
      <c r="C41" s="78"/>
    </row>
    <row r="42" spans="1:3" ht="13.2" x14ac:dyDescent="0.25">
      <c r="A42" s="120"/>
      <c r="B42" s="78"/>
      <c r="C42" s="78"/>
    </row>
    <row r="43" spans="1:3" ht="13.2" x14ac:dyDescent="0.25">
      <c r="A43" s="120"/>
      <c r="B43" s="78"/>
      <c r="C43" s="78"/>
    </row>
    <row r="44" spans="1:3" ht="13.2" x14ac:dyDescent="0.25">
      <c r="A44" s="120"/>
      <c r="B44" s="78"/>
      <c r="C44" s="78"/>
    </row>
    <row r="45" spans="1:3" ht="13.2" x14ac:dyDescent="0.25">
      <c r="A45" s="120"/>
      <c r="B45" s="78"/>
      <c r="C45" s="78"/>
    </row>
    <row r="46" spans="1:3" ht="13.2" x14ac:dyDescent="0.25">
      <c r="A46" s="120"/>
      <c r="B46" s="78"/>
      <c r="C46" s="78"/>
    </row>
    <row r="47" spans="1:3" ht="13.2" x14ac:dyDescent="0.25">
      <c r="A47" s="120"/>
      <c r="B47" s="78"/>
      <c r="C47" s="78"/>
    </row>
    <row r="48" spans="1:3" ht="13.2" x14ac:dyDescent="0.25">
      <c r="A48" s="120"/>
      <c r="B48" s="78"/>
      <c r="C48" s="78"/>
    </row>
    <row r="49" spans="1:3" ht="13.2" x14ac:dyDescent="0.25">
      <c r="A49" s="120"/>
      <c r="B49" s="78"/>
      <c r="C49" s="78"/>
    </row>
    <row r="50" spans="1:3" ht="13.2" x14ac:dyDescent="0.25">
      <c r="A50" s="120"/>
      <c r="B50" s="78"/>
      <c r="C50" s="78"/>
    </row>
    <row r="51" spans="1:3" ht="13.2" x14ac:dyDescent="0.25">
      <c r="A51" s="120"/>
      <c r="B51" s="78"/>
      <c r="C51" s="78"/>
    </row>
    <row r="52" spans="1:3" ht="13.2" x14ac:dyDescent="0.25">
      <c r="A52" s="120"/>
      <c r="B52" s="78"/>
      <c r="C52" s="78"/>
    </row>
    <row r="53" spans="1:3" ht="13.2" x14ac:dyDescent="0.25">
      <c r="A53" s="120"/>
      <c r="B53" s="78"/>
      <c r="C53" s="78"/>
    </row>
    <row r="54" spans="1:3" ht="13.2" x14ac:dyDescent="0.25">
      <c r="A54" s="120"/>
      <c r="B54" s="78"/>
      <c r="C54" s="78"/>
    </row>
    <row r="55" spans="1:3" ht="13.2" x14ac:dyDescent="0.25">
      <c r="A55" s="120"/>
      <c r="B55" s="78"/>
      <c r="C55" s="78"/>
    </row>
    <row r="56" spans="1:3" ht="13.2" x14ac:dyDescent="0.25">
      <c r="A56" s="120"/>
      <c r="B56" s="78"/>
      <c r="C56" s="78"/>
    </row>
    <row r="57" spans="1:3" ht="13.2" x14ac:dyDescent="0.25">
      <c r="A57" s="120"/>
      <c r="B57" s="78"/>
      <c r="C57" s="78"/>
    </row>
    <row r="58" spans="1:3" ht="13.2" x14ac:dyDescent="0.25">
      <c r="A58" s="120"/>
      <c r="B58" s="78"/>
      <c r="C58" s="78"/>
    </row>
    <row r="59" spans="1:3" ht="13.2" x14ac:dyDescent="0.25">
      <c r="A59" s="120"/>
      <c r="B59" s="78"/>
      <c r="C59" s="78"/>
    </row>
    <row r="60" spans="1:3" ht="13.2" x14ac:dyDescent="0.25">
      <c r="A60" s="120"/>
      <c r="B60" s="78"/>
      <c r="C60" s="78"/>
    </row>
    <row r="61" spans="1:3" ht="13.2" x14ac:dyDescent="0.25">
      <c r="A61" s="120"/>
      <c r="B61" s="78"/>
      <c r="C61" s="78"/>
    </row>
    <row r="62" spans="1:3" ht="13.2" x14ac:dyDescent="0.25">
      <c r="A62" s="120"/>
      <c r="B62" s="78"/>
      <c r="C62" s="78"/>
    </row>
    <row r="63" spans="1:3" ht="13.2" x14ac:dyDescent="0.25">
      <c r="A63" s="120"/>
      <c r="B63" s="78"/>
      <c r="C63" s="78"/>
    </row>
    <row r="64" spans="1:3" ht="13.2" x14ac:dyDescent="0.25">
      <c r="A64" s="120"/>
      <c r="B64" s="78"/>
      <c r="C64" s="78"/>
    </row>
    <row r="65" spans="1:3" ht="13.2" x14ac:dyDescent="0.25">
      <c r="A65" s="120"/>
      <c r="B65" s="78"/>
      <c r="C65" s="78"/>
    </row>
    <row r="66" spans="1:3" ht="13.2" x14ac:dyDescent="0.25">
      <c r="A66" s="120"/>
      <c r="B66" s="78"/>
      <c r="C66" s="78"/>
    </row>
    <row r="67" spans="1:3" ht="13.2" x14ac:dyDescent="0.25">
      <c r="A67" s="120"/>
      <c r="B67" s="78"/>
      <c r="C67" s="78"/>
    </row>
    <row r="68" spans="1:3" ht="13.2" x14ac:dyDescent="0.25">
      <c r="A68" s="120"/>
      <c r="B68" s="78"/>
      <c r="C68" s="78"/>
    </row>
    <row r="69" spans="1:3" ht="13.2" x14ac:dyDescent="0.25">
      <c r="A69" s="120"/>
      <c r="B69" s="78"/>
      <c r="C69" s="78"/>
    </row>
    <row r="70" spans="1:3" ht="13.2" x14ac:dyDescent="0.25">
      <c r="A70" s="120"/>
      <c r="B70" s="78"/>
      <c r="C70" s="78"/>
    </row>
    <row r="71" spans="1:3" ht="13.2" x14ac:dyDescent="0.25">
      <c r="A71" s="120"/>
      <c r="B71" s="78"/>
      <c r="C71" s="78"/>
    </row>
    <row r="72" spans="1:3" ht="13.2" x14ac:dyDescent="0.25">
      <c r="A72" s="120"/>
      <c r="B72" s="78"/>
      <c r="C72" s="78"/>
    </row>
    <row r="73" spans="1:3" ht="13.2" x14ac:dyDescent="0.25">
      <c r="A73" s="120"/>
      <c r="B73" s="78"/>
      <c r="C73" s="78"/>
    </row>
    <row r="74" spans="1:3" ht="13.2" x14ac:dyDescent="0.25">
      <c r="A74" s="120"/>
      <c r="B74" s="78"/>
      <c r="C74" s="78"/>
    </row>
    <row r="75" spans="1:3" ht="13.2" x14ac:dyDescent="0.25">
      <c r="A75" s="120"/>
      <c r="B75" s="78"/>
      <c r="C75" s="78"/>
    </row>
    <row r="76" spans="1:3" ht="13.2" x14ac:dyDescent="0.25">
      <c r="A76" s="120"/>
      <c r="B76" s="78"/>
      <c r="C76" s="78"/>
    </row>
    <row r="77" spans="1:3" ht="13.2" x14ac:dyDescent="0.25">
      <c r="A77" s="120"/>
      <c r="B77" s="78"/>
      <c r="C77" s="78"/>
    </row>
    <row r="78" spans="1:3" ht="13.2" x14ac:dyDescent="0.25">
      <c r="A78" s="120"/>
      <c r="B78" s="78"/>
      <c r="C78" s="78"/>
    </row>
    <row r="79" spans="1:3" ht="13.2" x14ac:dyDescent="0.25">
      <c r="A79" s="120"/>
      <c r="B79" s="78"/>
      <c r="C79" s="78"/>
    </row>
    <row r="80" spans="1:3" ht="13.2" x14ac:dyDescent="0.25">
      <c r="A80" s="120"/>
      <c r="B80" s="78"/>
      <c r="C80" s="78"/>
    </row>
    <row r="81" spans="1:3" ht="13.2" x14ac:dyDescent="0.25">
      <c r="A81" s="120"/>
      <c r="B81" s="78"/>
      <c r="C81" s="78"/>
    </row>
    <row r="82" spans="1:3" ht="13.2" x14ac:dyDescent="0.25">
      <c r="A82" s="120"/>
      <c r="B82" s="78"/>
      <c r="C82" s="78"/>
    </row>
    <row r="83" spans="1:3" ht="13.2" x14ac:dyDescent="0.25">
      <c r="A83" s="120"/>
      <c r="B83" s="78"/>
      <c r="C83" s="78"/>
    </row>
    <row r="84" spans="1:3" ht="13.2" x14ac:dyDescent="0.25">
      <c r="A84" s="120"/>
      <c r="B84" s="78"/>
      <c r="C84" s="78"/>
    </row>
    <row r="85" spans="1:3" ht="13.2" x14ac:dyDescent="0.25">
      <c r="A85" s="120"/>
      <c r="B85" s="78"/>
      <c r="C85" s="78"/>
    </row>
    <row r="86" spans="1:3" ht="13.2" x14ac:dyDescent="0.25">
      <c r="A86" s="120"/>
      <c r="B86" s="78"/>
      <c r="C86" s="78"/>
    </row>
    <row r="87" spans="1:3" ht="13.2" x14ac:dyDescent="0.25">
      <c r="A87" s="120"/>
      <c r="B87" s="78"/>
      <c r="C87" s="78"/>
    </row>
    <row r="88" spans="1:3" ht="13.2" x14ac:dyDescent="0.25">
      <c r="A88" s="120"/>
      <c r="B88" s="78"/>
      <c r="C88" s="78"/>
    </row>
    <row r="89" spans="1:3" ht="13.2" x14ac:dyDescent="0.25">
      <c r="A89" s="120"/>
      <c r="B89" s="78"/>
      <c r="C89" s="78"/>
    </row>
    <row r="90" spans="1:3" ht="13.2" x14ac:dyDescent="0.25">
      <c r="A90" s="120"/>
      <c r="B90" s="78"/>
      <c r="C90" s="78"/>
    </row>
    <row r="91" spans="1:3" ht="13.2" x14ac:dyDescent="0.25">
      <c r="A91" s="120"/>
      <c r="B91" s="78"/>
      <c r="C91" s="78"/>
    </row>
    <row r="92" spans="1:3" ht="13.2" x14ac:dyDescent="0.25">
      <c r="A92" s="120"/>
      <c r="B92" s="78"/>
      <c r="C92" s="78"/>
    </row>
    <row r="93" spans="1:3" ht="13.2" x14ac:dyDescent="0.25">
      <c r="A93" s="120"/>
      <c r="B93" s="78"/>
      <c r="C93" s="78"/>
    </row>
    <row r="94" spans="1:3" ht="13.2" x14ac:dyDescent="0.25">
      <c r="A94" s="120"/>
      <c r="B94" s="78"/>
      <c r="C94" s="78"/>
    </row>
    <row r="95" spans="1:3" ht="13.2" x14ac:dyDescent="0.25">
      <c r="A95" s="120"/>
      <c r="B95" s="78"/>
      <c r="C95" s="78"/>
    </row>
    <row r="96" spans="1:3" ht="13.2" x14ac:dyDescent="0.25">
      <c r="A96" s="120"/>
      <c r="B96" s="78"/>
      <c r="C96" s="78"/>
    </row>
    <row r="97" spans="1:3" ht="13.2" x14ac:dyDescent="0.25">
      <c r="A97" s="120"/>
      <c r="B97" s="78"/>
      <c r="C97" s="78"/>
    </row>
    <row r="98" spans="1:3" ht="13.2" x14ac:dyDescent="0.25">
      <c r="A98" s="120"/>
      <c r="B98" s="78"/>
      <c r="C98" s="78"/>
    </row>
    <row r="99" spans="1:3" ht="13.2" x14ac:dyDescent="0.25">
      <c r="A99" s="120"/>
      <c r="B99" s="78"/>
      <c r="C99" s="78"/>
    </row>
    <row r="100" spans="1:3" ht="13.2" x14ac:dyDescent="0.25">
      <c r="A100" s="120"/>
      <c r="B100" s="78"/>
      <c r="C100" s="78"/>
    </row>
    <row r="101" spans="1:3" ht="13.2" x14ac:dyDescent="0.25">
      <c r="A101" s="120"/>
      <c r="B101" s="78"/>
      <c r="C101" s="78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T100"/>
  <sheetViews>
    <sheetView tabSelected="1" workbookViewId="0">
      <pane ySplit="2" topLeftCell="A3" activePane="bottomLeft" state="frozen"/>
      <selection pane="bottomLeft" activeCell="B4" sqref="B4"/>
    </sheetView>
  </sheetViews>
  <sheetFormatPr defaultColWidth="14.44140625" defaultRowHeight="12.75" customHeight="1" x14ac:dyDescent="0.25"/>
  <cols>
    <col min="1" max="1" width="13" customWidth="1"/>
    <col min="2" max="3" width="17.33203125" customWidth="1"/>
    <col min="4" max="4" width="19.5546875" customWidth="1"/>
    <col min="5" max="5" width="17.33203125" customWidth="1"/>
    <col min="6" max="6" width="19.5546875" customWidth="1"/>
    <col min="7" max="20" width="17.33203125" customWidth="1"/>
  </cols>
  <sheetData>
    <row r="1" spans="1:20" ht="21" customHeight="1" x14ac:dyDescent="0.25">
      <c r="A1" s="205" t="s">
        <v>393</v>
      </c>
      <c r="B1" s="192"/>
      <c r="C1" s="192"/>
      <c r="D1" s="193"/>
      <c r="E1" s="135">
        <f>905*0.7893/3.6</f>
        <v>198.42124999999999</v>
      </c>
      <c r="F1" s="136"/>
      <c r="G1" s="137"/>
    </row>
    <row r="2" spans="1:20" ht="32.25" customHeight="1" x14ac:dyDescent="0.25">
      <c r="A2" s="138" t="s">
        <v>394</v>
      </c>
      <c r="B2" s="138" t="s">
        <v>395</v>
      </c>
      <c r="C2" s="138" t="s">
        <v>396</v>
      </c>
      <c r="D2" s="140" t="s">
        <v>397</v>
      </c>
      <c r="E2" s="141" t="s">
        <v>398</v>
      </c>
      <c r="F2" s="142" t="s">
        <v>399</v>
      </c>
      <c r="G2" s="115" t="s">
        <v>400</v>
      </c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</row>
    <row r="3" spans="1:20" ht="13.2" x14ac:dyDescent="0.25">
      <c r="A3" s="138">
        <v>1</v>
      </c>
      <c r="B3" s="138">
        <v>251</v>
      </c>
      <c r="C3" s="138">
        <v>96</v>
      </c>
      <c r="D3" s="144">
        <f t="shared" ref="D3:D16" si="0">3600/B3/2</f>
        <v>7.1713147410358564</v>
      </c>
      <c r="E3" s="145">
        <f t="shared" ref="E3:E16" si="1">(198*C3+628*(100-C3))/100</f>
        <v>215.2</v>
      </c>
      <c r="F3" s="136">
        <f t="shared" ref="F3:F16" si="2">1750/E3</f>
        <v>8.1319702602230493</v>
      </c>
      <c r="G3" s="137">
        <f t="shared" ref="G3:G16" si="3">(F3-D3)/F3*100</f>
        <v>11.81331815594765</v>
      </c>
    </row>
    <row r="4" spans="1:20" ht="13.2" x14ac:dyDescent="0.25">
      <c r="A4" s="138">
        <v>2</v>
      </c>
      <c r="B4" s="138">
        <v>278</v>
      </c>
      <c r="C4" s="138">
        <v>95</v>
      </c>
      <c r="D4" s="144">
        <f t="shared" si="0"/>
        <v>6.4748201438848918</v>
      </c>
      <c r="E4" s="145">
        <f t="shared" si="1"/>
        <v>219.5</v>
      </c>
      <c r="F4" s="136">
        <f t="shared" si="2"/>
        <v>7.9726651480637809</v>
      </c>
      <c r="G4" s="137">
        <f t="shared" si="3"/>
        <v>18.787255909558066</v>
      </c>
    </row>
    <row r="5" spans="1:20" ht="13.2" x14ac:dyDescent="0.25">
      <c r="A5" s="138">
        <v>3</v>
      </c>
      <c r="B5" s="138">
        <v>325</v>
      </c>
      <c r="C5" s="138">
        <v>93</v>
      </c>
      <c r="D5" s="144">
        <f t="shared" si="0"/>
        <v>5.5384615384615383</v>
      </c>
      <c r="E5" s="145">
        <f t="shared" si="1"/>
        <v>228.1</v>
      </c>
      <c r="F5" s="136">
        <f t="shared" si="2"/>
        <v>7.6720736519070583</v>
      </c>
      <c r="G5" s="137">
        <f t="shared" si="3"/>
        <v>27.810109890109892</v>
      </c>
    </row>
    <row r="6" spans="1:20" ht="13.2" x14ac:dyDescent="0.25">
      <c r="A6" s="138">
        <v>4</v>
      </c>
      <c r="B6" s="138">
        <v>391</v>
      </c>
      <c r="C6" s="138">
        <v>88</v>
      </c>
      <c r="D6" s="144">
        <f t="shared" si="0"/>
        <v>4.6035805626598467</v>
      </c>
      <c r="E6" s="145">
        <f t="shared" si="1"/>
        <v>249.6</v>
      </c>
      <c r="F6" s="136">
        <f t="shared" si="2"/>
        <v>7.0112179487179489</v>
      </c>
      <c r="G6" s="137">
        <f t="shared" si="3"/>
        <v>34.339788089148705</v>
      </c>
    </row>
    <row r="7" spans="1:20" ht="13.2" x14ac:dyDescent="0.25">
      <c r="A7" s="138">
        <v>5</v>
      </c>
      <c r="B7" s="138">
        <v>494</v>
      </c>
      <c r="C7" s="138">
        <v>74</v>
      </c>
      <c r="D7" s="144">
        <f t="shared" si="0"/>
        <v>3.6437246963562755</v>
      </c>
      <c r="E7" s="145">
        <f t="shared" si="1"/>
        <v>309.8</v>
      </c>
      <c r="F7" s="136">
        <f t="shared" si="2"/>
        <v>5.6488056810845704</v>
      </c>
      <c r="G7" s="137">
        <f t="shared" si="3"/>
        <v>35.49566223250433</v>
      </c>
    </row>
    <row r="8" spans="1:20" ht="13.2" x14ac:dyDescent="0.25">
      <c r="A8" s="138">
        <v>6</v>
      </c>
      <c r="B8" s="138">
        <v>536</v>
      </c>
      <c r="C8" s="138">
        <v>70</v>
      </c>
      <c r="D8" s="144">
        <f t="shared" si="0"/>
        <v>3.3582089552238807</v>
      </c>
      <c r="E8" s="145">
        <f t="shared" si="1"/>
        <v>327</v>
      </c>
      <c r="F8" s="136">
        <f t="shared" si="2"/>
        <v>5.3516819571865444</v>
      </c>
      <c r="G8" s="137">
        <f t="shared" si="3"/>
        <v>37.249466950959487</v>
      </c>
    </row>
    <row r="9" spans="1:20" ht="13.2" x14ac:dyDescent="0.25">
      <c r="A9" s="138">
        <v>7</v>
      </c>
      <c r="B9" s="138">
        <v>562</v>
      </c>
      <c r="C9" s="138">
        <v>67</v>
      </c>
      <c r="D9" s="144">
        <f t="shared" si="0"/>
        <v>3.2028469750889679</v>
      </c>
      <c r="E9" s="145">
        <f t="shared" si="1"/>
        <v>339.9</v>
      </c>
      <c r="F9" s="136">
        <f t="shared" si="2"/>
        <v>5.1485731097381588</v>
      </c>
      <c r="G9" s="137">
        <f t="shared" si="3"/>
        <v>37.791560752414853</v>
      </c>
    </row>
    <row r="10" spans="1:20" ht="13.2" x14ac:dyDescent="0.25">
      <c r="A10" s="138">
        <v>8</v>
      </c>
      <c r="B10" s="138">
        <v>609</v>
      </c>
      <c r="C10" s="138">
        <v>62</v>
      </c>
      <c r="D10" s="144">
        <f t="shared" si="0"/>
        <v>2.9556650246305418</v>
      </c>
      <c r="E10" s="145">
        <f t="shared" si="1"/>
        <v>361.4</v>
      </c>
      <c r="F10" s="136">
        <f t="shared" si="2"/>
        <v>4.842280022136138</v>
      </c>
      <c r="G10" s="137">
        <f t="shared" si="3"/>
        <v>38.961294862772704</v>
      </c>
    </row>
    <row r="11" spans="1:20" ht="13.2" x14ac:dyDescent="0.25">
      <c r="A11" s="138">
        <v>9</v>
      </c>
      <c r="B11" s="138">
        <v>657</v>
      </c>
      <c r="C11" s="138">
        <v>54</v>
      </c>
      <c r="D11" s="144">
        <f t="shared" si="0"/>
        <v>2.7397260273972601</v>
      </c>
      <c r="E11" s="145">
        <f t="shared" si="1"/>
        <v>395.8</v>
      </c>
      <c r="F11" s="136">
        <f t="shared" si="2"/>
        <v>4.4214249621020718</v>
      </c>
      <c r="G11" s="137">
        <f t="shared" si="3"/>
        <v>38.035225048923685</v>
      </c>
    </row>
    <row r="12" spans="1:20" ht="13.2" x14ac:dyDescent="0.25">
      <c r="A12" s="138">
        <v>10</v>
      </c>
      <c r="B12" s="138">
        <v>811</v>
      </c>
      <c r="C12" s="138">
        <v>44</v>
      </c>
      <c r="D12" s="144">
        <f t="shared" si="0"/>
        <v>2.219482120838471</v>
      </c>
      <c r="E12" s="145">
        <f t="shared" si="1"/>
        <v>438.8</v>
      </c>
      <c r="F12" s="136">
        <f t="shared" si="2"/>
        <v>3.9881494986326342</v>
      </c>
      <c r="G12" s="137">
        <f t="shared" si="3"/>
        <v>44.348071164347367</v>
      </c>
    </row>
    <row r="13" spans="1:20" ht="13.2" x14ac:dyDescent="0.25">
      <c r="A13" s="138">
        <v>11</v>
      </c>
      <c r="B13" s="138">
        <v>827</v>
      </c>
      <c r="C13" s="138">
        <v>31</v>
      </c>
      <c r="D13" s="144">
        <f t="shared" si="0"/>
        <v>2.1765417170495769</v>
      </c>
      <c r="E13" s="145">
        <f t="shared" si="1"/>
        <v>494.7</v>
      </c>
      <c r="F13" s="136">
        <f t="shared" si="2"/>
        <v>3.5374974732160904</v>
      </c>
      <c r="G13" s="137">
        <f t="shared" si="3"/>
        <v>38.472275004318526</v>
      </c>
    </row>
    <row r="14" spans="1:20" ht="13.2" x14ac:dyDescent="0.25">
      <c r="A14" s="138">
        <v>12</v>
      </c>
      <c r="B14" s="138">
        <v>870</v>
      </c>
      <c r="C14" s="138">
        <v>18</v>
      </c>
      <c r="D14" s="144">
        <f t="shared" si="0"/>
        <v>2.0689655172413794</v>
      </c>
      <c r="E14" s="145">
        <f t="shared" si="1"/>
        <v>550.6</v>
      </c>
      <c r="F14" s="136">
        <f t="shared" si="2"/>
        <v>3.1783508899382489</v>
      </c>
      <c r="G14" s="137">
        <f t="shared" si="3"/>
        <v>34.904433497536935</v>
      </c>
    </row>
    <row r="15" spans="1:20" ht="13.2" x14ac:dyDescent="0.25">
      <c r="A15" s="138">
        <v>13</v>
      </c>
      <c r="B15" s="138">
        <v>917</v>
      </c>
      <c r="C15" s="138">
        <v>8</v>
      </c>
      <c r="D15" s="144">
        <f t="shared" si="0"/>
        <v>1.9629225736095965</v>
      </c>
      <c r="E15" s="145">
        <f t="shared" si="1"/>
        <v>593.6</v>
      </c>
      <c r="F15" s="136">
        <f t="shared" si="2"/>
        <v>2.9481132075471699</v>
      </c>
      <c r="G15" s="137">
        <f t="shared" si="3"/>
        <v>33.417666303162484</v>
      </c>
    </row>
    <row r="16" spans="1:20" ht="13.2" x14ac:dyDescent="0.25">
      <c r="A16" s="138">
        <v>14</v>
      </c>
      <c r="B16" s="138">
        <v>906</v>
      </c>
      <c r="C16" s="138">
        <v>3</v>
      </c>
      <c r="D16" s="144">
        <f t="shared" si="0"/>
        <v>1.9867549668874172</v>
      </c>
      <c r="E16" s="145">
        <f t="shared" si="1"/>
        <v>615.1</v>
      </c>
      <c r="F16" s="136">
        <f t="shared" si="2"/>
        <v>2.8450658429523652</v>
      </c>
      <c r="G16" s="137">
        <f t="shared" si="3"/>
        <v>30.168401135288548</v>
      </c>
    </row>
    <row r="17" spans="1:7" ht="13.2" x14ac:dyDescent="0.25">
      <c r="A17" s="206" t="s">
        <v>401</v>
      </c>
      <c r="B17" s="192"/>
      <c r="C17" s="192"/>
      <c r="D17" s="193"/>
      <c r="E17" s="145"/>
      <c r="F17" s="136"/>
      <c r="G17" s="137"/>
    </row>
    <row r="18" spans="1:7" ht="13.2" x14ac:dyDescent="0.25">
      <c r="A18" s="148">
        <v>1</v>
      </c>
      <c r="B18" s="148">
        <v>440</v>
      </c>
      <c r="C18" s="148">
        <v>0</v>
      </c>
      <c r="D18" s="144">
        <f t="shared" ref="D18:D22" si="4">3600/B18/2</f>
        <v>4.0909090909090908</v>
      </c>
      <c r="E18" s="149">
        <f t="shared" ref="E18:E22" si="5">2260/3.6</f>
        <v>627.77777777777771</v>
      </c>
      <c r="F18" s="150">
        <f t="shared" ref="F18:F21" si="6">3500/E18</f>
        <v>5.5752212389380533</v>
      </c>
      <c r="G18" s="151">
        <f t="shared" ref="G18:G22" si="7">(F18-D18)/F18*100</f>
        <v>26.623376623376625</v>
      </c>
    </row>
    <row r="19" spans="1:7" ht="13.2" x14ac:dyDescent="0.25">
      <c r="A19" s="148">
        <v>2</v>
      </c>
      <c r="B19" s="148">
        <v>433</v>
      </c>
      <c r="C19" s="148">
        <v>0</v>
      </c>
      <c r="D19" s="144">
        <f t="shared" si="4"/>
        <v>4.1570438799076213</v>
      </c>
      <c r="E19" s="149">
        <f t="shared" si="5"/>
        <v>627.77777777777771</v>
      </c>
      <c r="F19" s="150">
        <f t="shared" si="6"/>
        <v>5.5752212389380533</v>
      </c>
      <c r="G19" s="151">
        <f t="shared" si="7"/>
        <v>25.437149455625207</v>
      </c>
    </row>
    <row r="20" spans="1:7" ht="13.2" x14ac:dyDescent="0.25">
      <c r="A20" s="148">
        <v>3</v>
      </c>
      <c r="B20" s="148">
        <v>432</v>
      </c>
      <c r="C20" s="148">
        <v>0</v>
      </c>
      <c r="D20" s="144">
        <f t="shared" si="4"/>
        <v>4.166666666666667</v>
      </c>
      <c r="E20" s="149">
        <f t="shared" si="5"/>
        <v>627.77777777777771</v>
      </c>
      <c r="F20" s="150">
        <f t="shared" si="6"/>
        <v>5.5752212389380533</v>
      </c>
      <c r="G20" s="151">
        <f t="shared" si="7"/>
        <v>25.264550264550262</v>
      </c>
    </row>
    <row r="21" spans="1:7" ht="13.2" x14ac:dyDescent="0.25">
      <c r="A21" s="152">
        <v>4</v>
      </c>
      <c r="B21" s="152">
        <v>433</v>
      </c>
      <c r="C21" s="152">
        <v>0</v>
      </c>
      <c r="D21" s="144">
        <f t="shared" si="4"/>
        <v>4.1570438799076213</v>
      </c>
      <c r="E21" s="149">
        <f t="shared" si="5"/>
        <v>627.77777777777771</v>
      </c>
      <c r="F21" s="150">
        <f t="shared" si="6"/>
        <v>5.5752212389380533</v>
      </c>
      <c r="G21" s="151">
        <f t="shared" si="7"/>
        <v>25.437149455625207</v>
      </c>
    </row>
    <row r="22" spans="1:7" ht="13.2" hidden="1" x14ac:dyDescent="0.25">
      <c r="A22" s="153"/>
      <c r="B22" s="154">
        <v>900</v>
      </c>
      <c r="C22" s="153"/>
      <c r="D22" s="144">
        <f t="shared" si="4"/>
        <v>2</v>
      </c>
      <c r="E22" s="149">
        <f t="shared" si="5"/>
        <v>627.77777777777771</v>
      </c>
      <c r="F22" s="150">
        <f>3000/E22</f>
        <v>4.778761061946903</v>
      </c>
      <c r="G22" s="151">
        <f t="shared" si="7"/>
        <v>58.148148148148152</v>
      </c>
    </row>
    <row r="23" spans="1:7" ht="13.2" x14ac:dyDescent="0.25">
      <c r="A23" s="207" t="s">
        <v>402</v>
      </c>
      <c r="B23" s="208"/>
      <c r="C23" s="208"/>
      <c r="D23" s="208"/>
      <c r="E23" s="135">
        <f>2260*1/3.6</f>
        <v>627.77777777777771</v>
      </c>
      <c r="F23" s="136"/>
      <c r="G23" s="137"/>
    </row>
    <row r="24" spans="1:7" ht="13.2" x14ac:dyDescent="0.25">
      <c r="A24" s="108" t="s">
        <v>403</v>
      </c>
      <c r="B24" s="108">
        <v>1140</v>
      </c>
      <c r="C24" s="108">
        <v>41</v>
      </c>
      <c r="D24" s="155">
        <f t="shared" ref="D24:D25" si="8">3600/B24</f>
        <v>3.1578947368421053</v>
      </c>
      <c r="E24" s="145">
        <f t="shared" ref="E24:E25" si="9">(198*C24+628*(100-C24))/100</f>
        <v>451.7</v>
      </c>
      <c r="F24" s="136">
        <f t="shared" ref="F24:F25" si="10">1750/E24</f>
        <v>3.8742528226699138</v>
      </c>
      <c r="G24" s="137">
        <f t="shared" ref="G24:G25" si="11">(F24-D24)/F24*100</f>
        <v>18.490225563909775</v>
      </c>
    </row>
    <row r="25" spans="1:7" ht="13.2" x14ac:dyDescent="0.25">
      <c r="A25" s="108" t="s">
        <v>403</v>
      </c>
      <c r="B25" s="108">
        <v>1080</v>
      </c>
      <c r="C25" s="108">
        <v>43</v>
      </c>
      <c r="D25" s="157">
        <f t="shared" si="8"/>
        <v>3.3333333333333335</v>
      </c>
      <c r="E25" s="145">
        <f t="shared" si="9"/>
        <v>443.1</v>
      </c>
      <c r="F25" s="136">
        <f t="shared" si="10"/>
        <v>3.9494470774091623</v>
      </c>
      <c r="G25" s="137">
        <f t="shared" si="11"/>
        <v>15.599999999999989</v>
      </c>
    </row>
    <row r="26" spans="1:7" ht="13.2" x14ac:dyDescent="0.25">
      <c r="B26" s="78"/>
      <c r="C26" s="78"/>
      <c r="D26" s="136"/>
      <c r="E26" s="137"/>
      <c r="F26" s="136"/>
      <c r="G26" s="137"/>
    </row>
    <row r="27" spans="1:7" ht="13.2" x14ac:dyDescent="0.25">
      <c r="B27" s="78"/>
      <c r="C27" s="78"/>
      <c r="D27" s="136"/>
      <c r="E27" s="137"/>
      <c r="F27" s="136"/>
      <c r="G27" s="137"/>
    </row>
    <row r="28" spans="1:7" ht="13.2" x14ac:dyDescent="0.25">
      <c r="B28" s="78"/>
      <c r="C28" s="78"/>
      <c r="D28" s="136"/>
      <c r="E28" s="137"/>
      <c r="F28" s="136"/>
      <c r="G28" s="137"/>
    </row>
    <row r="29" spans="1:7" ht="13.2" x14ac:dyDescent="0.25">
      <c r="B29" s="78"/>
      <c r="C29" s="78"/>
      <c r="D29" s="136"/>
      <c r="E29" s="137"/>
      <c r="F29" s="136"/>
      <c r="G29" s="137"/>
    </row>
    <row r="30" spans="1:7" ht="13.2" x14ac:dyDescent="0.25">
      <c r="B30" s="78"/>
      <c r="C30" s="78"/>
      <c r="D30" s="136"/>
      <c r="E30" s="137"/>
      <c r="F30" s="136"/>
      <c r="G30" s="137"/>
    </row>
    <row r="31" spans="1:7" ht="13.2" x14ac:dyDescent="0.25">
      <c r="B31" s="78"/>
      <c r="C31" s="78"/>
      <c r="D31" s="136"/>
      <c r="E31" s="137"/>
      <c r="F31" s="136"/>
      <c r="G31" s="137"/>
    </row>
    <row r="32" spans="1:7" ht="13.2" x14ac:dyDescent="0.25">
      <c r="B32" s="78"/>
      <c r="C32" s="78"/>
      <c r="D32" s="136"/>
      <c r="E32" s="137"/>
      <c r="F32" s="136"/>
      <c r="G32" s="137"/>
    </row>
    <row r="33" spans="2:7" ht="13.2" x14ac:dyDescent="0.25">
      <c r="B33" s="78"/>
      <c r="C33" s="78"/>
      <c r="D33" s="136"/>
      <c r="E33" s="137"/>
      <c r="F33" s="136"/>
      <c r="G33" s="137"/>
    </row>
    <row r="34" spans="2:7" ht="13.2" x14ac:dyDescent="0.25">
      <c r="B34" s="78"/>
      <c r="C34" s="78"/>
      <c r="D34" s="136"/>
      <c r="E34" s="137"/>
      <c r="F34" s="136"/>
      <c r="G34" s="137"/>
    </row>
    <row r="35" spans="2:7" ht="13.2" x14ac:dyDescent="0.25">
      <c r="B35" s="78"/>
      <c r="C35" s="78"/>
      <c r="D35" s="136"/>
      <c r="E35" s="137"/>
      <c r="F35" s="136"/>
      <c r="G35" s="137"/>
    </row>
    <row r="36" spans="2:7" ht="13.2" x14ac:dyDescent="0.25">
      <c r="B36" s="78"/>
      <c r="C36" s="78"/>
      <c r="D36" s="136"/>
      <c r="E36" s="137"/>
      <c r="F36" s="136"/>
      <c r="G36" s="137"/>
    </row>
    <row r="37" spans="2:7" ht="13.2" x14ac:dyDescent="0.25">
      <c r="B37" s="78"/>
      <c r="C37" s="78"/>
      <c r="D37" s="136"/>
      <c r="E37" s="137"/>
      <c r="F37" s="136"/>
      <c r="G37" s="137"/>
    </row>
    <row r="38" spans="2:7" ht="13.2" x14ac:dyDescent="0.25">
      <c r="B38" s="78"/>
      <c r="C38" s="78"/>
      <c r="D38" s="136"/>
      <c r="E38" s="137"/>
      <c r="F38" s="136"/>
      <c r="G38" s="137"/>
    </row>
    <row r="39" spans="2:7" ht="13.2" x14ac:dyDescent="0.25">
      <c r="B39" s="78"/>
      <c r="C39" s="78"/>
      <c r="D39" s="136"/>
      <c r="E39" s="137"/>
      <c r="F39" s="136"/>
      <c r="G39" s="137"/>
    </row>
    <row r="40" spans="2:7" ht="13.2" x14ac:dyDescent="0.25">
      <c r="B40" s="78"/>
      <c r="C40" s="78"/>
      <c r="D40" s="136"/>
      <c r="E40" s="137"/>
      <c r="F40" s="136"/>
      <c r="G40" s="137"/>
    </row>
    <row r="41" spans="2:7" ht="13.2" x14ac:dyDescent="0.25">
      <c r="B41" s="78"/>
      <c r="C41" s="78"/>
      <c r="D41" s="136"/>
      <c r="E41" s="137"/>
      <c r="F41" s="136"/>
      <c r="G41" s="137"/>
    </row>
    <row r="42" spans="2:7" ht="13.2" x14ac:dyDescent="0.25">
      <c r="B42" s="78"/>
      <c r="C42" s="78"/>
      <c r="D42" s="136"/>
      <c r="E42" s="137"/>
      <c r="F42" s="136"/>
      <c r="G42" s="137"/>
    </row>
    <row r="43" spans="2:7" ht="13.2" x14ac:dyDescent="0.25">
      <c r="B43" s="78"/>
      <c r="C43" s="78"/>
      <c r="D43" s="136"/>
      <c r="E43" s="137"/>
      <c r="F43" s="136"/>
      <c r="G43" s="137"/>
    </row>
    <row r="44" spans="2:7" ht="13.2" x14ac:dyDescent="0.25">
      <c r="B44" s="78"/>
      <c r="C44" s="78"/>
      <c r="D44" s="136"/>
      <c r="E44" s="137"/>
      <c r="F44" s="136"/>
      <c r="G44" s="137"/>
    </row>
    <row r="45" spans="2:7" ht="13.2" x14ac:dyDescent="0.25">
      <c r="B45" s="78"/>
      <c r="C45" s="78"/>
      <c r="D45" s="136"/>
      <c r="E45" s="137"/>
      <c r="F45" s="136"/>
      <c r="G45" s="137"/>
    </row>
    <row r="46" spans="2:7" ht="13.2" x14ac:dyDescent="0.25">
      <c r="B46" s="78"/>
      <c r="C46" s="78"/>
      <c r="D46" s="136"/>
      <c r="E46" s="137"/>
      <c r="F46" s="136"/>
      <c r="G46" s="137"/>
    </row>
    <row r="47" spans="2:7" ht="13.2" x14ac:dyDescent="0.25">
      <c r="B47" s="78"/>
      <c r="C47" s="78"/>
      <c r="D47" s="136"/>
      <c r="E47" s="137"/>
      <c r="F47" s="136"/>
      <c r="G47" s="137"/>
    </row>
    <row r="48" spans="2:7" ht="13.2" x14ac:dyDescent="0.25">
      <c r="B48" s="78"/>
      <c r="C48" s="78"/>
      <c r="D48" s="136"/>
      <c r="E48" s="137"/>
      <c r="F48" s="136"/>
      <c r="G48" s="137"/>
    </row>
    <row r="49" spans="2:7" ht="13.2" x14ac:dyDescent="0.25">
      <c r="B49" s="78"/>
      <c r="C49" s="78"/>
      <c r="D49" s="136"/>
      <c r="E49" s="137"/>
      <c r="F49" s="136"/>
      <c r="G49" s="137"/>
    </row>
    <row r="50" spans="2:7" ht="13.2" x14ac:dyDescent="0.25">
      <c r="B50" s="78"/>
      <c r="C50" s="78"/>
      <c r="D50" s="136"/>
      <c r="E50" s="137"/>
      <c r="F50" s="136"/>
      <c r="G50" s="137"/>
    </row>
    <row r="51" spans="2:7" ht="13.2" x14ac:dyDescent="0.25">
      <c r="B51" s="78"/>
      <c r="C51" s="78"/>
      <c r="D51" s="136"/>
      <c r="E51" s="137"/>
      <c r="F51" s="136"/>
      <c r="G51" s="137"/>
    </row>
    <row r="52" spans="2:7" ht="13.2" x14ac:dyDescent="0.25">
      <c r="B52" s="78"/>
      <c r="C52" s="78"/>
      <c r="D52" s="136"/>
      <c r="E52" s="137"/>
      <c r="F52" s="136"/>
      <c r="G52" s="137"/>
    </row>
    <row r="53" spans="2:7" ht="13.2" x14ac:dyDescent="0.25">
      <c r="B53" s="78"/>
      <c r="C53" s="78"/>
      <c r="D53" s="136"/>
      <c r="E53" s="137"/>
      <c r="F53" s="136"/>
      <c r="G53" s="137"/>
    </row>
    <row r="54" spans="2:7" ht="13.2" x14ac:dyDescent="0.25">
      <c r="B54" s="78"/>
      <c r="C54" s="78"/>
      <c r="D54" s="136"/>
      <c r="E54" s="137"/>
      <c r="F54" s="136"/>
      <c r="G54" s="137"/>
    </row>
    <row r="55" spans="2:7" ht="13.2" x14ac:dyDescent="0.25">
      <c r="B55" s="78"/>
      <c r="C55" s="78"/>
      <c r="D55" s="136"/>
      <c r="E55" s="137"/>
      <c r="F55" s="136"/>
      <c r="G55" s="137"/>
    </row>
    <row r="56" spans="2:7" ht="13.2" x14ac:dyDescent="0.25">
      <c r="B56" s="78"/>
      <c r="C56" s="78"/>
      <c r="D56" s="136"/>
      <c r="E56" s="137"/>
      <c r="F56" s="136"/>
      <c r="G56" s="137"/>
    </row>
    <row r="57" spans="2:7" ht="13.2" x14ac:dyDescent="0.25">
      <c r="B57" s="78"/>
      <c r="C57" s="78"/>
      <c r="D57" s="136"/>
      <c r="E57" s="137"/>
      <c r="F57" s="136"/>
      <c r="G57" s="137"/>
    </row>
    <row r="58" spans="2:7" ht="13.2" x14ac:dyDescent="0.25">
      <c r="B58" s="78"/>
      <c r="C58" s="78"/>
      <c r="D58" s="136"/>
      <c r="E58" s="137"/>
      <c r="F58" s="136"/>
      <c r="G58" s="137"/>
    </row>
    <row r="59" spans="2:7" ht="13.2" x14ac:dyDescent="0.25">
      <c r="B59" s="78"/>
      <c r="C59" s="78"/>
      <c r="D59" s="136"/>
      <c r="E59" s="137"/>
      <c r="F59" s="136"/>
      <c r="G59" s="137"/>
    </row>
    <row r="60" spans="2:7" ht="13.2" x14ac:dyDescent="0.25">
      <c r="B60" s="78"/>
      <c r="C60" s="78"/>
      <c r="D60" s="136"/>
      <c r="E60" s="137"/>
      <c r="F60" s="136"/>
      <c r="G60" s="137"/>
    </row>
    <row r="61" spans="2:7" ht="13.2" x14ac:dyDescent="0.25">
      <c r="B61" s="78"/>
      <c r="C61" s="78"/>
      <c r="D61" s="136"/>
      <c r="E61" s="137"/>
      <c r="F61" s="136"/>
      <c r="G61" s="137"/>
    </row>
    <row r="62" spans="2:7" ht="13.2" x14ac:dyDescent="0.25">
      <c r="B62" s="78"/>
      <c r="C62" s="78"/>
      <c r="D62" s="136"/>
      <c r="E62" s="137"/>
      <c r="F62" s="136"/>
      <c r="G62" s="137"/>
    </row>
    <row r="63" spans="2:7" ht="13.2" x14ac:dyDescent="0.25">
      <c r="B63" s="78"/>
      <c r="C63" s="78"/>
      <c r="D63" s="136"/>
      <c r="E63" s="137"/>
      <c r="F63" s="136"/>
      <c r="G63" s="137"/>
    </row>
    <row r="64" spans="2:7" ht="13.2" x14ac:dyDescent="0.25">
      <c r="B64" s="78"/>
      <c r="C64" s="78"/>
      <c r="D64" s="136"/>
      <c r="E64" s="137"/>
      <c r="F64" s="136"/>
      <c r="G64" s="137"/>
    </row>
    <row r="65" spans="2:7" ht="13.2" x14ac:dyDescent="0.25">
      <c r="B65" s="78"/>
      <c r="C65" s="78"/>
      <c r="D65" s="136"/>
      <c r="E65" s="137"/>
      <c r="F65" s="136"/>
      <c r="G65" s="137"/>
    </row>
    <row r="66" spans="2:7" ht="13.2" x14ac:dyDescent="0.25">
      <c r="B66" s="78"/>
      <c r="C66" s="78"/>
      <c r="D66" s="136"/>
      <c r="E66" s="137"/>
      <c r="F66" s="136"/>
      <c r="G66" s="137"/>
    </row>
    <row r="67" spans="2:7" ht="13.2" x14ac:dyDescent="0.25">
      <c r="B67" s="78"/>
      <c r="C67" s="78"/>
      <c r="D67" s="136"/>
      <c r="E67" s="137"/>
      <c r="F67" s="136"/>
      <c r="G67" s="137"/>
    </row>
    <row r="68" spans="2:7" ht="13.2" x14ac:dyDescent="0.25">
      <c r="B68" s="78"/>
      <c r="C68" s="78"/>
      <c r="D68" s="136"/>
      <c r="E68" s="137"/>
      <c r="F68" s="136"/>
      <c r="G68" s="137"/>
    </row>
    <row r="69" spans="2:7" ht="13.2" x14ac:dyDescent="0.25">
      <c r="B69" s="78"/>
      <c r="C69" s="78"/>
      <c r="D69" s="136"/>
      <c r="E69" s="137"/>
      <c r="F69" s="136"/>
      <c r="G69" s="137"/>
    </row>
    <row r="70" spans="2:7" ht="13.2" x14ac:dyDescent="0.25">
      <c r="B70" s="78"/>
      <c r="C70" s="78"/>
      <c r="D70" s="136"/>
      <c r="E70" s="137"/>
      <c r="F70" s="136"/>
      <c r="G70" s="137"/>
    </row>
    <row r="71" spans="2:7" ht="13.2" x14ac:dyDescent="0.25">
      <c r="B71" s="78"/>
      <c r="C71" s="78"/>
      <c r="D71" s="136"/>
      <c r="E71" s="137"/>
      <c r="F71" s="136"/>
      <c r="G71" s="137"/>
    </row>
    <row r="72" spans="2:7" ht="13.2" x14ac:dyDescent="0.25">
      <c r="B72" s="78"/>
      <c r="C72" s="78"/>
      <c r="D72" s="136"/>
      <c r="E72" s="137"/>
      <c r="F72" s="136"/>
      <c r="G72" s="137"/>
    </row>
    <row r="73" spans="2:7" ht="13.2" x14ac:dyDescent="0.25">
      <c r="B73" s="78"/>
      <c r="C73" s="78"/>
      <c r="D73" s="136"/>
      <c r="E73" s="137"/>
      <c r="F73" s="136"/>
      <c r="G73" s="137"/>
    </row>
    <row r="74" spans="2:7" ht="13.2" x14ac:dyDescent="0.25">
      <c r="B74" s="78"/>
      <c r="C74" s="78"/>
      <c r="D74" s="136"/>
      <c r="E74" s="137"/>
      <c r="F74" s="136"/>
      <c r="G74" s="137"/>
    </row>
    <row r="75" spans="2:7" ht="13.2" x14ac:dyDescent="0.25">
      <c r="B75" s="78"/>
      <c r="C75" s="78"/>
      <c r="D75" s="136"/>
      <c r="E75" s="137"/>
      <c r="F75" s="136"/>
      <c r="G75" s="137"/>
    </row>
    <row r="76" spans="2:7" ht="13.2" x14ac:dyDescent="0.25">
      <c r="B76" s="78"/>
      <c r="C76" s="78"/>
      <c r="D76" s="136"/>
      <c r="E76" s="137"/>
      <c r="F76" s="136"/>
      <c r="G76" s="137"/>
    </row>
    <row r="77" spans="2:7" ht="13.2" x14ac:dyDescent="0.25">
      <c r="B77" s="78"/>
      <c r="C77" s="78"/>
      <c r="D77" s="136"/>
      <c r="E77" s="137"/>
      <c r="F77" s="136"/>
      <c r="G77" s="137"/>
    </row>
    <row r="78" spans="2:7" ht="13.2" x14ac:dyDescent="0.25">
      <c r="B78" s="78"/>
      <c r="C78" s="78"/>
      <c r="D78" s="136"/>
      <c r="E78" s="137"/>
      <c r="F78" s="136"/>
      <c r="G78" s="137"/>
    </row>
    <row r="79" spans="2:7" ht="13.2" x14ac:dyDescent="0.25">
      <c r="B79" s="78"/>
      <c r="C79" s="78"/>
      <c r="D79" s="136"/>
      <c r="E79" s="137"/>
      <c r="F79" s="136"/>
      <c r="G79" s="137"/>
    </row>
    <row r="80" spans="2:7" ht="13.2" x14ac:dyDescent="0.25">
      <c r="B80" s="78"/>
      <c r="C80" s="78"/>
      <c r="D80" s="136"/>
      <c r="E80" s="137"/>
      <c r="F80" s="136"/>
      <c r="G80" s="137"/>
    </row>
    <row r="81" spans="2:7" ht="13.2" x14ac:dyDescent="0.25">
      <c r="B81" s="78"/>
      <c r="C81" s="78"/>
      <c r="D81" s="136"/>
      <c r="E81" s="137"/>
      <c r="F81" s="136"/>
      <c r="G81" s="137"/>
    </row>
    <row r="82" spans="2:7" ht="13.2" x14ac:dyDescent="0.25">
      <c r="B82" s="78"/>
      <c r="C82" s="78"/>
      <c r="D82" s="136"/>
      <c r="E82" s="137"/>
      <c r="F82" s="136"/>
      <c r="G82" s="137"/>
    </row>
    <row r="83" spans="2:7" ht="13.2" x14ac:dyDescent="0.25">
      <c r="B83" s="78"/>
      <c r="C83" s="78"/>
      <c r="D83" s="136"/>
      <c r="E83" s="137"/>
      <c r="F83" s="136"/>
      <c r="G83" s="137"/>
    </row>
    <row r="84" spans="2:7" ht="13.2" x14ac:dyDescent="0.25">
      <c r="B84" s="78"/>
      <c r="C84" s="78"/>
      <c r="D84" s="136"/>
      <c r="E84" s="137"/>
      <c r="F84" s="136"/>
      <c r="G84" s="137"/>
    </row>
    <row r="85" spans="2:7" ht="13.2" x14ac:dyDescent="0.25">
      <c r="B85" s="78"/>
      <c r="C85" s="78"/>
      <c r="D85" s="136"/>
      <c r="E85" s="137"/>
      <c r="F85" s="136"/>
      <c r="G85" s="137"/>
    </row>
    <row r="86" spans="2:7" ht="13.2" x14ac:dyDescent="0.25">
      <c r="B86" s="78"/>
      <c r="C86" s="78"/>
      <c r="D86" s="136"/>
      <c r="E86" s="137"/>
      <c r="F86" s="136"/>
      <c r="G86" s="137"/>
    </row>
    <row r="87" spans="2:7" ht="13.2" x14ac:dyDescent="0.25">
      <c r="B87" s="78"/>
      <c r="C87" s="78"/>
      <c r="D87" s="136"/>
      <c r="E87" s="137"/>
      <c r="F87" s="136"/>
      <c r="G87" s="137"/>
    </row>
    <row r="88" spans="2:7" ht="13.2" x14ac:dyDescent="0.25">
      <c r="B88" s="78"/>
      <c r="C88" s="78"/>
      <c r="D88" s="136"/>
      <c r="E88" s="137"/>
      <c r="F88" s="136"/>
      <c r="G88" s="137"/>
    </row>
    <row r="89" spans="2:7" ht="13.2" x14ac:dyDescent="0.25">
      <c r="B89" s="78"/>
      <c r="C89" s="78"/>
      <c r="D89" s="136"/>
      <c r="E89" s="137"/>
      <c r="F89" s="136"/>
      <c r="G89" s="137"/>
    </row>
    <row r="90" spans="2:7" ht="13.2" x14ac:dyDescent="0.25">
      <c r="B90" s="78"/>
      <c r="C90" s="78"/>
      <c r="D90" s="136"/>
      <c r="E90" s="137"/>
      <c r="F90" s="136"/>
      <c r="G90" s="137"/>
    </row>
    <row r="91" spans="2:7" ht="13.2" x14ac:dyDescent="0.25">
      <c r="B91" s="78"/>
      <c r="C91" s="78"/>
      <c r="D91" s="136"/>
      <c r="E91" s="137"/>
      <c r="F91" s="136"/>
      <c r="G91" s="137"/>
    </row>
    <row r="92" spans="2:7" ht="13.2" x14ac:dyDescent="0.25">
      <c r="B92" s="78"/>
      <c r="C92" s="78"/>
      <c r="D92" s="136"/>
      <c r="E92" s="137"/>
      <c r="F92" s="136"/>
      <c r="G92" s="137"/>
    </row>
    <row r="93" spans="2:7" ht="13.2" x14ac:dyDescent="0.25">
      <c r="B93" s="78"/>
      <c r="C93" s="78"/>
      <c r="D93" s="136"/>
      <c r="E93" s="137"/>
      <c r="F93" s="136"/>
      <c r="G93" s="137"/>
    </row>
    <row r="94" spans="2:7" ht="13.2" x14ac:dyDescent="0.25">
      <c r="B94" s="78"/>
      <c r="C94" s="78"/>
      <c r="D94" s="136"/>
      <c r="E94" s="137"/>
      <c r="F94" s="136"/>
      <c r="G94" s="137"/>
    </row>
    <row r="95" spans="2:7" ht="13.2" x14ac:dyDescent="0.25">
      <c r="B95" s="78"/>
      <c r="C95" s="78"/>
      <c r="D95" s="136"/>
      <c r="E95" s="137"/>
      <c r="F95" s="136"/>
      <c r="G95" s="137"/>
    </row>
    <row r="96" spans="2:7" ht="13.2" x14ac:dyDescent="0.25">
      <c r="B96" s="78"/>
      <c r="C96" s="78"/>
      <c r="D96" s="136"/>
      <c r="E96" s="137"/>
      <c r="F96" s="136"/>
      <c r="G96" s="137"/>
    </row>
    <row r="97" spans="2:7" ht="13.2" x14ac:dyDescent="0.25">
      <c r="B97" s="78"/>
      <c r="C97" s="78"/>
      <c r="D97" s="136"/>
      <c r="E97" s="137"/>
      <c r="F97" s="136"/>
      <c r="G97" s="137"/>
    </row>
    <row r="98" spans="2:7" ht="13.2" x14ac:dyDescent="0.25">
      <c r="B98" s="78"/>
      <c r="C98" s="78"/>
      <c r="D98" s="136"/>
      <c r="E98" s="137"/>
      <c r="F98" s="136"/>
      <c r="G98" s="137"/>
    </row>
    <row r="99" spans="2:7" ht="13.2" x14ac:dyDescent="0.25">
      <c r="B99" s="78"/>
      <c r="C99" s="78"/>
      <c r="D99" s="136"/>
      <c r="E99" s="137"/>
      <c r="F99" s="136"/>
      <c r="G99" s="137"/>
    </row>
    <row r="100" spans="2:7" ht="13.2" x14ac:dyDescent="0.25">
      <c r="B100" s="78"/>
      <c r="C100" s="78"/>
      <c r="D100" s="136"/>
      <c r="E100" s="137"/>
      <c r="F100" s="136"/>
      <c r="G100" s="137"/>
    </row>
  </sheetData>
  <mergeCells count="3">
    <mergeCell ref="A1:D1"/>
    <mergeCell ref="A17:D17"/>
    <mergeCell ref="A23:D2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M98"/>
  <sheetViews>
    <sheetView workbookViewId="0"/>
  </sheetViews>
  <sheetFormatPr defaultColWidth="14.44140625" defaultRowHeight="12.75" customHeight="1" x14ac:dyDescent="0.25"/>
  <cols>
    <col min="1" max="1" width="15.5546875" customWidth="1"/>
    <col min="2" max="3" width="17.33203125" customWidth="1"/>
    <col min="4" max="4" width="14.33203125" customWidth="1"/>
    <col min="5" max="5" width="14.109375" customWidth="1"/>
    <col min="6" max="6" width="13.109375" customWidth="1"/>
    <col min="7" max="7" width="13.33203125" customWidth="1"/>
    <col min="8" max="8" width="12.33203125" customWidth="1"/>
    <col min="9" max="9" width="11" customWidth="1"/>
    <col min="10" max="10" width="11.109375" customWidth="1"/>
    <col min="11" max="11" width="17.33203125" customWidth="1"/>
    <col min="12" max="12" width="13.109375" customWidth="1"/>
    <col min="13" max="13" width="12.88671875" customWidth="1"/>
    <col min="14" max="24" width="17.33203125" customWidth="1"/>
  </cols>
  <sheetData>
    <row r="1" spans="1:13" ht="12.75" customHeight="1" x14ac:dyDescent="0.25">
      <c r="A1" s="1" t="s">
        <v>25</v>
      </c>
      <c r="B1" s="1" t="s">
        <v>28</v>
      </c>
      <c r="C1" s="1" t="s">
        <v>29</v>
      </c>
      <c r="D1" s="1" t="s">
        <v>48</v>
      </c>
      <c r="E1" s="1" t="s">
        <v>55</v>
      </c>
      <c r="F1" s="1" t="s">
        <v>387</v>
      </c>
      <c r="G1" s="1" t="s">
        <v>62</v>
      </c>
      <c r="H1" s="1" t="s">
        <v>63</v>
      </c>
      <c r="I1" s="124" t="s">
        <v>20</v>
      </c>
      <c r="J1" s="125" t="s">
        <v>21</v>
      </c>
      <c r="K1" s="126" t="s">
        <v>388</v>
      </c>
      <c r="L1" s="127" t="s">
        <v>389</v>
      </c>
      <c r="M1" s="127" t="s">
        <v>390</v>
      </c>
    </row>
    <row r="2" spans="1:13" ht="12.75" customHeight="1" x14ac:dyDescent="0.25">
      <c r="A2" s="42" t="s">
        <v>161</v>
      </c>
      <c r="B2" s="42" t="s">
        <v>162</v>
      </c>
      <c r="C2" s="42" t="s">
        <v>163</v>
      </c>
      <c r="D2" s="42">
        <v>1300</v>
      </c>
      <c r="E2" s="42">
        <v>1450</v>
      </c>
      <c r="F2" s="128">
        <f t="shared" ref="F2:F29" si="0">E2/100*80</f>
        <v>1160</v>
      </c>
      <c r="G2" s="51">
        <v>1400</v>
      </c>
      <c r="H2" s="42">
        <v>132</v>
      </c>
      <c r="I2" s="129">
        <v>2.85</v>
      </c>
      <c r="J2" s="125">
        <v>50</v>
      </c>
      <c r="K2" s="130">
        <f t="shared" ref="K2:K29" si="1">D2/40</f>
        <v>32.5</v>
      </c>
      <c r="L2" s="61">
        <f t="shared" ref="L2:L29" si="2">200/(D2/40)</f>
        <v>6.1538461538461542</v>
      </c>
      <c r="M2" s="61">
        <f t="shared" ref="M2:M29" si="3">D2/3*2/K2</f>
        <v>26.666666666666664</v>
      </c>
    </row>
    <row r="3" spans="1:13" ht="12.75" customHeight="1" x14ac:dyDescent="0.25">
      <c r="A3" s="42" t="s">
        <v>194</v>
      </c>
      <c r="B3" s="42" t="s">
        <v>195</v>
      </c>
      <c r="C3" s="42" t="s">
        <v>391</v>
      </c>
      <c r="D3" s="42">
        <v>1450</v>
      </c>
      <c r="E3" s="42">
        <v>800</v>
      </c>
      <c r="F3" s="128">
        <f t="shared" si="0"/>
        <v>640</v>
      </c>
      <c r="G3" s="51">
        <v>800</v>
      </c>
      <c r="H3" s="42">
        <v>50</v>
      </c>
      <c r="I3" s="129">
        <v>2.72</v>
      </c>
      <c r="J3" s="125">
        <v>73</v>
      </c>
      <c r="K3" s="130">
        <f t="shared" si="1"/>
        <v>36.25</v>
      </c>
      <c r="L3" s="61">
        <f t="shared" si="2"/>
        <v>5.5172413793103452</v>
      </c>
      <c r="M3" s="61">
        <f t="shared" si="3"/>
        <v>26.666666666666664</v>
      </c>
    </row>
    <row r="4" spans="1:13" ht="12.75" customHeight="1" x14ac:dyDescent="0.25">
      <c r="A4" s="42" t="s">
        <v>210</v>
      </c>
      <c r="B4" s="42" t="s">
        <v>211</v>
      </c>
      <c r="C4" s="42" t="s">
        <v>391</v>
      </c>
      <c r="D4" s="42">
        <v>1920</v>
      </c>
      <c r="E4" s="42">
        <v>1150</v>
      </c>
      <c r="F4" s="128">
        <f t="shared" si="0"/>
        <v>920</v>
      </c>
      <c r="G4" s="51">
        <v>1000</v>
      </c>
      <c r="H4" s="42">
        <v>82</v>
      </c>
      <c r="I4" s="129">
        <v>3.16</v>
      </c>
      <c r="J4" s="125">
        <v>83</v>
      </c>
      <c r="K4" s="130">
        <f t="shared" si="1"/>
        <v>48</v>
      </c>
      <c r="L4" s="61">
        <f t="shared" si="2"/>
        <v>4.166666666666667</v>
      </c>
      <c r="M4" s="61">
        <f t="shared" si="3"/>
        <v>26.666666666666668</v>
      </c>
    </row>
    <row r="5" spans="1:13" ht="12.75" customHeight="1" x14ac:dyDescent="0.25">
      <c r="A5" s="42" t="s">
        <v>230</v>
      </c>
      <c r="B5" s="42" t="s">
        <v>231</v>
      </c>
      <c r="C5" s="42" t="s">
        <v>391</v>
      </c>
      <c r="D5" s="42">
        <v>1350</v>
      </c>
      <c r="E5" s="42">
        <v>350</v>
      </c>
      <c r="F5" s="128">
        <f t="shared" si="0"/>
        <v>280</v>
      </c>
      <c r="G5" s="51">
        <v>300</v>
      </c>
      <c r="H5" s="42">
        <v>85</v>
      </c>
      <c r="I5" s="129">
        <v>3.65</v>
      </c>
      <c r="J5" s="125">
        <v>92</v>
      </c>
      <c r="K5" s="130">
        <f t="shared" si="1"/>
        <v>33.75</v>
      </c>
      <c r="L5" s="61">
        <f t="shared" si="2"/>
        <v>5.9259259259259256</v>
      </c>
      <c r="M5" s="61">
        <f t="shared" si="3"/>
        <v>26.666666666666668</v>
      </c>
    </row>
    <row r="6" spans="1:13" ht="12.75" customHeight="1" x14ac:dyDescent="0.25">
      <c r="A6" s="42" t="s">
        <v>294</v>
      </c>
      <c r="B6" s="42" t="s">
        <v>195</v>
      </c>
      <c r="C6" s="42" t="s">
        <v>391</v>
      </c>
      <c r="D6" s="42">
        <v>1580</v>
      </c>
      <c r="E6" s="42">
        <v>670</v>
      </c>
      <c r="F6" s="128">
        <f t="shared" si="0"/>
        <v>536</v>
      </c>
      <c r="G6" s="51">
        <v>600</v>
      </c>
      <c r="H6" s="42">
        <v>37</v>
      </c>
      <c r="I6" s="129">
        <v>5.38</v>
      </c>
      <c r="J6" s="125">
        <v>55</v>
      </c>
      <c r="K6" s="130">
        <f t="shared" si="1"/>
        <v>39.5</v>
      </c>
      <c r="L6" s="61">
        <f t="shared" si="2"/>
        <v>5.0632911392405067</v>
      </c>
      <c r="M6" s="61">
        <f t="shared" si="3"/>
        <v>26.666666666666664</v>
      </c>
    </row>
    <row r="7" spans="1:13" ht="12.75" customHeight="1" x14ac:dyDescent="0.25">
      <c r="A7" s="42" t="s">
        <v>230</v>
      </c>
      <c r="B7" s="42" t="s">
        <v>86</v>
      </c>
      <c r="C7" s="42" t="s">
        <v>243</v>
      </c>
      <c r="D7" s="42">
        <v>1450</v>
      </c>
      <c r="E7" s="42">
        <v>1350</v>
      </c>
      <c r="F7" s="128">
        <f t="shared" si="0"/>
        <v>1080</v>
      </c>
      <c r="G7" s="51">
        <v>1100</v>
      </c>
      <c r="H7" s="42">
        <v>85</v>
      </c>
      <c r="I7" s="129">
        <v>3.34</v>
      </c>
      <c r="J7" s="125">
        <v>18</v>
      </c>
      <c r="K7" s="130">
        <f t="shared" si="1"/>
        <v>36.25</v>
      </c>
      <c r="L7" s="61">
        <f t="shared" si="2"/>
        <v>5.5172413793103452</v>
      </c>
      <c r="M7" s="61">
        <f t="shared" si="3"/>
        <v>26.666666666666664</v>
      </c>
    </row>
    <row r="8" spans="1:13" ht="12.75" customHeight="1" x14ac:dyDescent="0.25">
      <c r="A8" s="31" t="s">
        <v>69</v>
      </c>
      <c r="B8" s="31" t="s">
        <v>70</v>
      </c>
      <c r="C8" s="31" t="s">
        <v>71</v>
      </c>
      <c r="D8" s="31">
        <v>1600</v>
      </c>
      <c r="E8" s="31">
        <v>1750</v>
      </c>
      <c r="F8" s="128">
        <f t="shared" si="0"/>
        <v>1400</v>
      </c>
      <c r="G8" s="38">
        <v>1300</v>
      </c>
      <c r="H8" s="31">
        <v>75</v>
      </c>
      <c r="I8" s="129">
        <v>4.49</v>
      </c>
      <c r="J8" s="125">
        <v>108</v>
      </c>
      <c r="K8" s="130">
        <f t="shared" si="1"/>
        <v>40</v>
      </c>
      <c r="L8" s="61">
        <f t="shared" si="2"/>
        <v>5</v>
      </c>
      <c r="M8" s="61">
        <f t="shared" si="3"/>
        <v>26.666666666666668</v>
      </c>
    </row>
    <row r="9" spans="1:13" ht="12.75" customHeight="1" x14ac:dyDescent="0.25">
      <c r="A9" s="42" t="s">
        <v>123</v>
      </c>
      <c r="B9" s="42" t="s">
        <v>70</v>
      </c>
      <c r="C9" s="42" t="s">
        <v>71</v>
      </c>
      <c r="D9" s="42">
        <v>1400</v>
      </c>
      <c r="E9" s="42">
        <v>1000</v>
      </c>
      <c r="F9" s="128">
        <f t="shared" si="0"/>
        <v>800</v>
      </c>
      <c r="G9" s="51">
        <v>800</v>
      </c>
      <c r="H9" s="42">
        <v>65</v>
      </c>
      <c r="I9" s="129">
        <v>3.65</v>
      </c>
      <c r="J9" s="125">
        <v>71</v>
      </c>
      <c r="K9" s="130">
        <f t="shared" si="1"/>
        <v>35</v>
      </c>
      <c r="L9" s="61">
        <f t="shared" si="2"/>
        <v>5.7142857142857144</v>
      </c>
      <c r="M9" s="61">
        <f t="shared" si="3"/>
        <v>26.666666666666668</v>
      </c>
    </row>
    <row r="10" spans="1:13" ht="12.75" customHeight="1" x14ac:dyDescent="0.25">
      <c r="A10" s="42" t="s">
        <v>260</v>
      </c>
      <c r="B10" s="42" t="s">
        <v>70</v>
      </c>
      <c r="C10" s="42" t="s">
        <v>261</v>
      </c>
      <c r="D10" s="42">
        <v>1000</v>
      </c>
      <c r="E10" s="42">
        <v>1000</v>
      </c>
      <c r="F10" s="128">
        <f t="shared" si="0"/>
        <v>800</v>
      </c>
      <c r="G10" s="51">
        <v>600</v>
      </c>
      <c r="H10" s="42">
        <v>50</v>
      </c>
      <c r="I10" s="129">
        <v>5.2</v>
      </c>
      <c r="J10" s="125">
        <v>61</v>
      </c>
      <c r="K10" s="130">
        <f t="shared" si="1"/>
        <v>25</v>
      </c>
      <c r="L10" s="61">
        <f t="shared" si="2"/>
        <v>8</v>
      </c>
      <c r="M10" s="61">
        <f t="shared" si="3"/>
        <v>26.666666666666664</v>
      </c>
    </row>
    <row r="11" spans="1:13" ht="12.75" customHeight="1" x14ac:dyDescent="0.25">
      <c r="A11" s="42" t="s">
        <v>267</v>
      </c>
      <c r="B11" s="42" t="s">
        <v>268</v>
      </c>
      <c r="C11" s="42" t="s">
        <v>71</v>
      </c>
      <c r="D11" s="42">
        <v>1500</v>
      </c>
      <c r="E11" s="42">
        <v>450</v>
      </c>
      <c r="F11" s="128">
        <f t="shared" si="0"/>
        <v>360</v>
      </c>
      <c r="G11" s="51">
        <v>200</v>
      </c>
      <c r="H11" s="42">
        <v>22</v>
      </c>
      <c r="I11" s="129">
        <v>5.2</v>
      </c>
      <c r="J11" s="125">
        <v>92</v>
      </c>
      <c r="K11" s="130">
        <f t="shared" si="1"/>
        <v>37.5</v>
      </c>
      <c r="L11" s="61">
        <f t="shared" si="2"/>
        <v>5.333333333333333</v>
      </c>
      <c r="M11" s="61">
        <f t="shared" si="3"/>
        <v>26.666666666666668</v>
      </c>
    </row>
    <row r="12" spans="1:13" ht="12.75" customHeight="1" x14ac:dyDescent="0.25">
      <c r="A12" s="42" t="s">
        <v>137</v>
      </c>
      <c r="B12" s="42" t="s">
        <v>138</v>
      </c>
      <c r="C12" s="42" t="s">
        <v>139</v>
      </c>
      <c r="D12" s="42">
        <v>2800</v>
      </c>
      <c r="E12" s="42">
        <v>1000</v>
      </c>
      <c r="F12" s="128">
        <f t="shared" si="0"/>
        <v>800</v>
      </c>
      <c r="G12" s="51">
        <v>900</v>
      </c>
      <c r="H12" s="42">
        <v>75</v>
      </c>
      <c r="I12" s="129">
        <v>3.13</v>
      </c>
      <c r="J12" s="125">
        <v>61</v>
      </c>
      <c r="K12" s="130">
        <f t="shared" si="1"/>
        <v>70</v>
      </c>
      <c r="L12" s="61">
        <f t="shared" si="2"/>
        <v>2.8571428571428572</v>
      </c>
      <c r="M12" s="61">
        <f t="shared" si="3"/>
        <v>26.666666666666668</v>
      </c>
    </row>
    <row r="13" spans="1:13" ht="12.75" customHeight="1" x14ac:dyDescent="0.25">
      <c r="A13" s="42" t="s">
        <v>108</v>
      </c>
      <c r="B13" s="42" t="s">
        <v>109</v>
      </c>
      <c r="C13" s="42" t="s">
        <v>110</v>
      </c>
      <c r="D13" s="42">
        <v>1500</v>
      </c>
      <c r="E13" s="42">
        <v>1600</v>
      </c>
      <c r="F13" s="128">
        <f t="shared" si="0"/>
        <v>1280</v>
      </c>
      <c r="G13" s="51">
        <v>1000</v>
      </c>
      <c r="H13" s="42">
        <v>90</v>
      </c>
      <c r="I13" s="129">
        <v>4.95</v>
      </c>
      <c r="J13" s="125">
        <v>82</v>
      </c>
      <c r="K13" s="130">
        <f t="shared" si="1"/>
        <v>37.5</v>
      </c>
      <c r="L13" s="61">
        <f t="shared" si="2"/>
        <v>5.333333333333333</v>
      </c>
      <c r="M13" s="61">
        <f t="shared" si="3"/>
        <v>26.666666666666668</v>
      </c>
    </row>
    <row r="14" spans="1:13" ht="12.75" customHeight="1" x14ac:dyDescent="0.25">
      <c r="A14" s="42" t="s">
        <v>108</v>
      </c>
      <c r="B14" s="42" t="s">
        <v>392</v>
      </c>
      <c r="C14" s="42" t="s">
        <v>110</v>
      </c>
      <c r="D14" s="42">
        <v>1600</v>
      </c>
      <c r="E14" s="42">
        <v>500</v>
      </c>
      <c r="F14" s="128">
        <f t="shared" si="0"/>
        <v>400</v>
      </c>
      <c r="G14" s="51">
        <v>400</v>
      </c>
      <c r="H14" s="42">
        <v>27</v>
      </c>
      <c r="I14" s="129">
        <v>3.65</v>
      </c>
      <c r="J14" s="125">
        <v>85</v>
      </c>
      <c r="K14" s="130">
        <f t="shared" si="1"/>
        <v>40</v>
      </c>
      <c r="L14" s="61">
        <f t="shared" si="2"/>
        <v>5</v>
      </c>
      <c r="M14" s="61">
        <f t="shared" si="3"/>
        <v>26.666666666666668</v>
      </c>
    </row>
    <row r="15" spans="1:13" ht="12.75" customHeight="1" x14ac:dyDescent="0.25">
      <c r="A15" s="42" t="s">
        <v>175</v>
      </c>
      <c r="B15" s="42" t="s">
        <v>86</v>
      </c>
      <c r="C15" s="42" t="s">
        <v>110</v>
      </c>
      <c r="D15" s="42">
        <v>1600</v>
      </c>
      <c r="E15" s="42">
        <v>1650</v>
      </c>
      <c r="F15" s="128">
        <f t="shared" si="0"/>
        <v>1320</v>
      </c>
      <c r="G15" s="51">
        <v>900</v>
      </c>
      <c r="H15" s="42">
        <v>75</v>
      </c>
      <c r="I15" s="129">
        <v>5.82</v>
      </c>
      <c r="J15" s="125">
        <v>101</v>
      </c>
      <c r="K15" s="130">
        <f t="shared" si="1"/>
        <v>40</v>
      </c>
      <c r="L15" s="61">
        <f t="shared" si="2"/>
        <v>5</v>
      </c>
      <c r="M15" s="61">
        <f t="shared" si="3"/>
        <v>26.666666666666668</v>
      </c>
    </row>
    <row r="16" spans="1:13" ht="12.75" customHeight="1" x14ac:dyDescent="0.25">
      <c r="A16" s="42" t="s">
        <v>204</v>
      </c>
      <c r="B16" s="42" t="s">
        <v>86</v>
      </c>
      <c r="C16" s="42" t="s">
        <v>110</v>
      </c>
      <c r="D16" s="42">
        <v>1500</v>
      </c>
      <c r="E16" s="42">
        <v>900</v>
      </c>
      <c r="F16" s="128">
        <f t="shared" si="0"/>
        <v>720</v>
      </c>
      <c r="G16" s="51">
        <v>650</v>
      </c>
      <c r="H16" s="42">
        <v>50</v>
      </c>
      <c r="I16" s="129">
        <v>3.58</v>
      </c>
      <c r="J16" s="125">
        <v>83</v>
      </c>
      <c r="K16" s="130">
        <f t="shared" si="1"/>
        <v>37.5</v>
      </c>
      <c r="L16" s="61">
        <f t="shared" si="2"/>
        <v>5.333333333333333</v>
      </c>
      <c r="M16" s="61">
        <f t="shared" si="3"/>
        <v>26.666666666666668</v>
      </c>
    </row>
    <row r="17" spans="1:13" ht="12.75" customHeight="1" x14ac:dyDescent="0.25">
      <c r="A17" s="42" t="s">
        <v>85</v>
      </c>
      <c r="B17" s="42" t="s">
        <v>86</v>
      </c>
      <c r="C17" s="42" t="s">
        <v>87</v>
      </c>
      <c r="D17" s="42">
        <v>1200</v>
      </c>
      <c r="E17" s="42">
        <v>722</v>
      </c>
      <c r="F17" s="128">
        <f t="shared" si="0"/>
        <v>577.6</v>
      </c>
      <c r="G17" s="51">
        <v>650</v>
      </c>
      <c r="H17" s="42">
        <v>50</v>
      </c>
      <c r="I17" s="129">
        <v>3.13</v>
      </c>
      <c r="J17" s="125">
        <v>66</v>
      </c>
      <c r="K17" s="130">
        <f t="shared" si="1"/>
        <v>30</v>
      </c>
      <c r="L17" s="61">
        <f t="shared" si="2"/>
        <v>6.666666666666667</v>
      </c>
      <c r="M17" s="61">
        <f t="shared" si="3"/>
        <v>26.666666666666668</v>
      </c>
    </row>
    <row r="18" spans="1:13" ht="12.75" customHeight="1" x14ac:dyDescent="0.25">
      <c r="A18" s="42" t="s">
        <v>96</v>
      </c>
      <c r="B18" s="42" t="s">
        <v>86</v>
      </c>
      <c r="C18" s="42" t="s">
        <v>87</v>
      </c>
      <c r="D18" s="42">
        <v>800</v>
      </c>
      <c r="E18" s="42">
        <v>1400</v>
      </c>
      <c r="F18" s="128">
        <f t="shared" si="0"/>
        <v>1120</v>
      </c>
      <c r="G18" s="51">
        <v>990</v>
      </c>
      <c r="H18" s="42">
        <v>55</v>
      </c>
      <c r="I18" s="129">
        <v>4.26</v>
      </c>
      <c r="J18" s="125">
        <v>117</v>
      </c>
      <c r="K18" s="130">
        <f t="shared" si="1"/>
        <v>20</v>
      </c>
      <c r="L18" s="61">
        <f t="shared" si="2"/>
        <v>10</v>
      </c>
      <c r="M18" s="61">
        <f t="shared" si="3"/>
        <v>26.666666666666668</v>
      </c>
    </row>
    <row r="19" spans="1:13" ht="12.75" customHeight="1" x14ac:dyDescent="0.25">
      <c r="A19" s="42" t="s">
        <v>150</v>
      </c>
      <c r="B19" s="42" t="s">
        <v>86</v>
      </c>
      <c r="C19" s="42" t="s">
        <v>87</v>
      </c>
      <c r="D19" s="42">
        <v>1300</v>
      </c>
      <c r="E19" s="42">
        <v>900</v>
      </c>
      <c r="F19" s="128">
        <f t="shared" si="0"/>
        <v>720</v>
      </c>
      <c r="G19" s="51">
        <v>750</v>
      </c>
      <c r="H19" s="42">
        <v>22</v>
      </c>
      <c r="I19" s="129">
        <v>3.47</v>
      </c>
      <c r="J19" s="125">
        <v>189</v>
      </c>
      <c r="K19" s="130">
        <f t="shared" si="1"/>
        <v>32.5</v>
      </c>
      <c r="L19" s="61">
        <f t="shared" si="2"/>
        <v>6.1538461538461542</v>
      </c>
      <c r="M19" s="61">
        <f t="shared" si="3"/>
        <v>26.666666666666664</v>
      </c>
    </row>
    <row r="20" spans="1:13" ht="12.75" customHeight="1" x14ac:dyDescent="0.25">
      <c r="A20" s="42" t="s">
        <v>186</v>
      </c>
      <c r="B20" s="42" t="s">
        <v>86</v>
      </c>
      <c r="C20" s="42" t="s">
        <v>87</v>
      </c>
      <c r="D20" s="42">
        <v>1300</v>
      </c>
      <c r="E20" s="42">
        <v>900</v>
      </c>
      <c r="F20" s="128">
        <f t="shared" si="0"/>
        <v>720</v>
      </c>
      <c r="G20" s="51">
        <v>600</v>
      </c>
      <c r="H20" s="42">
        <v>30</v>
      </c>
      <c r="I20" s="129">
        <v>4.58</v>
      </c>
      <c r="J20" s="125">
        <v>139</v>
      </c>
      <c r="K20" s="130">
        <f t="shared" si="1"/>
        <v>32.5</v>
      </c>
      <c r="L20" s="61">
        <f t="shared" si="2"/>
        <v>6.1538461538461542</v>
      </c>
      <c r="M20" s="61">
        <f t="shared" si="3"/>
        <v>26.666666666666664</v>
      </c>
    </row>
    <row r="21" spans="1:13" ht="12.75" customHeight="1" x14ac:dyDescent="0.25">
      <c r="A21" s="42" t="s">
        <v>224</v>
      </c>
      <c r="B21" s="42" t="s">
        <v>86</v>
      </c>
      <c r="C21" s="42" t="s">
        <v>87</v>
      </c>
      <c r="D21" s="42">
        <v>1450</v>
      </c>
      <c r="E21" s="42">
        <v>1000</v>
      </c>
      <c r="F21" s="128">
        <f t="shared" si="0"/>
        <v>800</v>
      </c>
      <c r="G21" s="51">
        <v>800</v>
      </c>
      <c r="H21" s="42">
        <v>50</v>
      </c>
      <c r="I21" s="129">
        <v>3.28</v>
      </c>
      <c r="J21" s="125">
        <v>64</v>
      </c>
      <c r="K21" s="130">
        <f t="shared" si="1"/>
        <v>36.25</v>
      </c>
      <c r="L21" s="61">
        <f t="shared" si="2"/>
        <v>5.5172413793103452</v>
      </c>
      <c r="M21" s="61">
        <f t="shared" si="3"/>
        <v>26.666666666666664</v>
      </c>
    </row>
    <row r="22" spans="1:13" ht="12.75" customHeight="1" x14ac:dyDescent="0.25">
      <c r="A22" s="42" t="s">
        <v>252</v>
      </c>
      <c r="B22" s="42" t="s">
        <v>253</v>
      </c>
      <c r="C22" s="42" t="s">
        <v>87</v>
      </c>
      <c r="D22" s="42">
        <v>1450</v>
      </c>
      <c r="E22" s="42">
        <v>1100</v>
      </c>
      <c r="F22" s="128">
        <f t="shared" si="0"/>
        <v>880</v>
      </c>
      <c r="G22" s="51">
        <v>900</v>
      </c>
      <c r="H22" s="42">
        <v>75</v>
      </c>
      <c r="I22" s="129">
        <v>3.57</v>
      </c>
      <c r="J22" s="125">
        <v>73</v>
      </c>
      <c r="K22" s="130">
        <f t="shared" si="1"/>
        <v>36.25</v>
      </c>
      <c r="L22" s="61">
        <f t="shared" si="2"/>
        <v>5.5172413793103452</v>
      </c>
      <c r="M22" s="61">
        <f t="shared" si="3"/>
        <v>26.666666666666664</v>
      </c>
    </row>
    <row r="23" spans="1:13" ht="12.75" customHeight="1" x14ac:dyDescent="0.25">
      <c r="A23" s="42" t="s">
        <v>252</v>
      </c>
      <c r="B23" s="42" t="s">
        <v>253</v>
      </c>
      <c r="C23" s="42" t="s">
        <v>87</v>
      </c>
      <c r="D23" s="42">
        <v>1450</v>
      </c>
      <c r="E23" s="42">
        <v>1000</v>
      </c>
      <c r="F23" s="128">
        <f t="shared" si="0"/>
        <v>800</v>
      </c>
      <c r="G23" s="51">
        <v>600</v>
      </c>
      <c r="H23" s="42">
        <v>75</v>
      </c>
      <c r="I23" s="129">
        <v>3.55</v>
      </c>
      <c r="J23" s="125">
        <v>67</v>
      </c>
      <c r="K23" s="130">
        <f t="shared" si="1"/>
        <v>36.25</v>
      </c>
      <c r="L23" s="61">
        <f t="shared" si="2"/>
        <v>5.5172413793103452</v>
      </c>
      <c r="M23" s="61">
        <f t="shared" si="3"/>
        <v>26.666666666666664</v>
      </c>
    </row>
    <row r="24" spans="1:13" ht="12.75" customHeight="1" x14ac:dyDescent="0.25">
      <c r="A24" s="42" t="s">
        <v>280</v>
      </c>
      <c r="B24" s="42" t="s">
        <v>86</v>
      </c>
      <c r="C24" s="42" t="s">
        <v>87</v>
      </c>
      <c r="D24" s="42">
        <v>1500</v>
      </c>
      <c r="E24" s="42">
        <v>1700</v>
      </c>
      <c r="F24" s="128">
        <f t="shared" si="0"/>
        <v>1360</v>
      </c>
      <c r="G24" s="51">
        <v>1500</v>
      </c>
      <c r="H24" s="42">
        <v>50</v>
      </c>
      <c r="I24" s="129">
        <v>7.37</v>
      </c>
      <c r="J24" s="125">
        <v>94</v>
      </c>
      <c r="K24" s="130">
        <f t="shared" si="1"/>
        <v>37.5</v>
      </c>
      <c r="L24" s="61">
        <f t="shared" si="2"/>
        <v>5.333333333333333</v>
      </c>
      <c r="M24" s="61">
        <f t="shared" si="3"/>
        <v>26.666666666666668</v>
      </c>
    </row>
    <row r="25" spans="1:13" ht="12.75" customHeight="1" x14ac:dyDescent="0.25">
      <c r="A25" s="42" t="s">
        <v>287</v>
      </c>
      <c r="B25" s="42" t="s">
        <v>86</v>
      </c>
      <c r="C25" s="42" t="s">
        <v>87</v>
      </c>
      <c r="D25" s="42">
        <v>1400</v>
      </c>
      <c r="E25" s="42">
        <v>1200</v>
      </c>
      <c r="F25" s="128">
        <f t="shared" si="0"/>
        <v>960</v>
      </c>
      <c r="G25" s="51">
        <v>700</v>
      </c>
      <c r="H25" s="133">
        <v>100</v>
      </c>
      <c r="I25" s="134">
        <v>3.22</v>
      </c>
      <c r="J25" s="139">
        <v>157</v>
      </c>
      <c r="K25" s="130">
        <f t="shared" si="1"/>
        <v>35</v>
      </c>
      <c r="L25" s="61">
        <f t="shared" si="2"/>
        <v>5.7142857142857144</v>
      </c>
      <c r="M25" s="61">
        <f t="shared" si="3"/>
        <v>26.666666666666668</v>
      </c>
    </row>
    <row r="26" spans="1:13" ht="12.75" customHeight="1" x14ac:dyDescent="0.25">
      <c r="A26" s="42" t="s">
        <v>312</v>
      </c>
      <c r="B26" s="42" t="s">
        <v>86</v>
      </c>
      <c r="C26" s="42" t="s">
        <v>87</v>
      </c>
      <c r="D26" s="42">
        <v>1600</v>
      </c>
      <c r="E26" s="42">
        <v>1860</v>
      </c>
      <c r="F26" s="128">
        <f t="shared" si="0"/>
        <v>1488</v>
      </c>
      <c r="G26" s="51">
        <v>1500</v>
      </c>
      <c r="H26" s="133">
        <v>50</v>
      </c>
      <c r="I26" s="134">
        <v>3.61</v>
      </c>
      <c r="J26" s="139">
        <v>172</v>
      </c>
      <c r="K26" s="130">
        <f t="shared" si="1"/>
        <v>40</v>
      </c>
      <c r="L26" s="61">
        <f t="shared" si="2"/>
        <v>5</v>
      </c>
      <c r="M26" s="61">
        <f t="shared" si="3"/>
        <v>26.666666666666668</v>
      </c>
    </row>
    <row r="27" spans="1:13" ht="12.75" customHeight="1" x14ac:dyDescent="0.25">
      <c r="A27" s="42" t="s">
        <v>96</v>
      </c>
      <c r="B27" s="42" t="s">
        <v>86</v>
      </c>
      <c r="C27" s="42" t="s">
        <v>87</v>
      </c>
      <c r="D27" s="42">
        <v>1600</v>
      </c>
      <c r="E27" s="42">
        <v>1800</v>
      </c>
      <c r="F27" s="128">
        <f t="shared" si="0"/>
        <v>1440</v>
      </c>
      <c r="G27" s="51">
        <v>1300</v>
      </c>
      <c r="H27" s="133" t="s">
        <v>330</v>
      </c>
      <c r="I27" s="134">
        <v>4.1500000000000004</v>
      </c>
      <c r="J27" s="139" t="e">
        <v>#VALUE!</v>
      </c>
      <c r="K27" s="130">
        <f t="shared" si="1"/>
        <v>40</v>
      </c>
      <c r="L27" s="61">
        <f t="shared" si="2"/>
        <v>5</v>
      </c>
      <c r="M27" s="61">
        <f t="shared" si="3"/>
        <v>26.666666666666668</v>
      </c>
    </row>
    <row r="28" spans="1:13" ht="12.75" customHeight="1" x14ac:dyDescent="0.25">
      <c r="A28" s="42" t="s">
        <v>331</v>
      </c>
      <c r="B28" s="42" t="s">
        <v>332</v>
      </c>
      <c r="C28" s="42" t="s">
        <v>331</v>
      </c>
      <c r="D28" s="42">
        <v>1280</v>
      </c>
      <c r="E28" s="42">
        <v>1075</v>
      </c>
      <c r="F28" s="128">
        <f t="shared" si="0"/>
        <v>860</v>
      </c>
      <c r="G28" s="51">
        <v>1400</v>
      </c>
      <c r="H28" s="133">
        <v>150</v>
      </c>
      <c r="I28" s="134">
        <v>1.86</v>
      </c>
      <c r="J28" s="139">
        <v>32</v>
      </c>
      <c r="K28" s="130">
        <f t="shared" si="1"/>
        <v>32</v>
      </c>
      <c r="L28" s="61">
        <f t="shared" si="2"/>
        <v>6.25</v>
      </c>
      <c r="M28" s="61">
        <f t="shared" si="3"/>
        <v>26.666666666666668</v>
      </c>
    </row>
    <row r="29" spans="1:13" ht="12.75" customHeight="1" x14ac:dyDescent="0.25">
      <c r="A29" s="42" t="s">
        <v>294</v>
      </c>
      <c r="B29" s="42" t="s">
        <v>86</v>
      </c>
      <c r="C29" s="42" t="s">
        <v>306</v>
      </c>
      <c r="D29" s="42">
        <v>1570</v>
      </c>
      <c r="E29" s="42">
        <v>1650</v>
      </c>
      <c r="F29" s="128">
        <f t="shared" si="0"/>
        <v>1320</v>
      </c>
      <c r="G29" s="51">
        <v>1500</v>
      </c>
      <c r="H29" s="42">
        <v>75</v>
      </c>
      <c r="I29" s="146">
        <v>3.09</v>
      </c>
      <c r="J29" s="139">
        <v>101</v>
      </c>
      <c r="K29" s="130">
        <f t="shared" si="1"/>
        <v>39.25</v>
      </c>
      <c r="L29" s="61">
        <f t="shared" si="2"/>
        <v>5.0955414012738851</v>
      </c>
      <c r="M29" s="61">
        <f t="shared" si="3"/>
        <v>26.666666666666668</v>
      </c>
    </row>
    <row r="30" spans="1:13" ht="12.75" customHeight="1" x14ac:dyDescent="0.25">
      <c r="A30" s="73"/>
      <c r="B30" s="73"/>
      <c r="C30" s="73"/>
      <c r="D30" s="73"/>
      <c r="E30" s="73"/>
      <c r="F30" s="73"/>
      <c r="G30" s="73"/>
      <c r="H30" s="73"/>
      <c r="I30" s="147"/>
      <c r="J30" s="137"/>
      <c r="L30" s="61"/>
      <c r="M30" s="61"/>
    </row>
    <row r="31" spans="1:13" ht="12.75" customHeight="1" x14ac:dyDescent="0.25">
      <c r="A31" s="78"/>
      <c r="B31" s="78"/>
      <c r="C31" s="78"/>
      <c r="D31" s="78"/>
      <c r="E31" s="78"/>
      <c r="F31" s="78"/>
      <c r="G31" s="78"/>
      <c r="H31" s="78"/>
      <c r="I31" s="147"/>
      <c r="J31" s="137"/>
      <c r="L31" s="61"/>
      <c r="M31" s="61"/>
    </row>
    <row r="32" spans="1:13" ht="12.75" customHeight="1" x14ac:dyDescent="0.25">
      <c r="A32" s="78"/>
      <c r="B32" s="78"/>
      <c r="C32" s="78"/>
      <c r="D32" s="78"/>
      <c r="E32" s="78"/>
      <c r="F32" s="78"/>
      <c r="G32" s="78"/>
      <c r="H32" s="78"/>
      <c r="I32" s="147"/>
      <c r="J32" s="137"/>
      <c r="L32" s="61"/>
      <c r="M32" s="61"/>
    </row>
    <row r="33" spans="1:13" ht="12.75" customHeight="1" x14ac:dyDescent="0.25">
      <c r="A33" s="78"/>
      <c r="B33" s="78"/>
      <c r="C33" s="78"/>
      <c r="D33" s="78"/>
      <c r="E33" s="78"/>
      <c r="F33" s="78"/>
      <c r="G33" s="78"/>
      <c r="H33" s="78"/>
      <c r="I33" s="147"/>
      <c r="J33" s="137"/>
      <c r="L33" s="61"/>
      <c r="M33" s="61"/>
    </row>
    <row r="34" spans="1:13" ht="12.75" customHeight="1" x14ac:dyDescent="0.25">
      <c r="A34" s="78"/>
      <c r="B34" s="78"/>
      <c r="C34" s="78"/>
      <c r="D34" s="78"/>
      <c r="E34" s="78"/>
      <c r="F34" s="78"/>
      <c r="G34" s="78"/>
      <c r="H34" s="78"/>
      <c r="I34" s="147"/>
      <c r="J34" s="137"/>
      <c r="L34" s="61"/>
      <c r="M34" s="61"/>
    </row>
    <row r="35" spans="1:13" ht="12.75" customHeight="1" x14ac:dyDescent="0.25">
      <c r="A35" s="78"/>
      <c r="B35" s="78"/>
      <c r="C35" s="78"/>
      <c r="D35" s="78"/>
      <c r="E35" s="78"/>
      <c r="F35" s="78"/>
      <c r="G35" s="78"/>
      <c r="H35" s="78"/>
      <c r="I35" s="147"/>
      <c r="J35" s="137"/>
      <c r="L35" s="61"/>
      <c r="M35" s="61"/>
    </row>
    <row r="36" spans="1:13" ht="13.2" x14ac:dyDescent="0.25">
      <c r="A36" s="78"/>
      <c r="B36" s="78"/>
      <c r="C36" s="78"/>
      <c r="D36" s="78"/>
      <c r="E36" s="78"/>
      <c r="F36" s="78"/>
      <c r="G36" s="78"/>
      <c r="H36" s="78"/>
      <c r="I36" s="147"/>
      <c r="J36" s="137"/>
      <c r="L36" s="61"/>
      <c r="M36" s="61"/>
    </row>
    <row r="37" spans="1:13" ht="13.2" x14ac:dyDescent="0.25">
      <c r="A37" s="78"/>
      <c r="B37" s="78"/>
      <c r="C37" s="78"/>
      <c r="D37" s="78"/>
      <c r="E37" s="78"/>
      <c r="F37" s="78"/>
      <c r="G37" s="78"/>
      <c r="H37" s="78"/>
      <c r="I37" s="147"/>
      <c r="J37" s="137"/>
      <c r="L37" s="61"/>
      <c r="M37" s="61"/>
    </row>
    <row r="38" spans="1:13" ht="13.2" x14ac:dyDescent="0.25">
      <c r="A38" s="78"/>
      <c r="B38" s="78"/>
      <c r="C38" s="78"/>
      <c r="D38" s="78"/>
      <c r="E38" s="78"/>
      <c r="F38" s="78"/>
      <c r="G38" s="78"/>
      <c r="H38" s="78"/>
      <c r="I38" s="147"/>
      <c r="J38" s="137"/>
      <c r="L38" s="61"/>
      <c r="M38" s="61"/>
    </row>
    <row r="39" spans="1:13" ht="13.2" x14ac:dyDescent="0.25">
      <c r="A39" s="78"/>
      <c r="B39" s="78"/>
      <c r="C39" s="78"/>
      <c r="D39" s="78"/>
      <c r="E39" s="78"/>
      <c r="F39" s="78"/>
      <c r="G39" s="78"/>
      <c r="H39" s="78"/>
      <c r="I39" s="147"/>
      <c r="J39" s="137"/>
      <c r="L39" s="61"/>
      <c r="M39" s="61"/>
    </row>
    <row r="40" spans="1:13" ht="13.2" x14ac:dyDescent="0.25">
      <c r="A40" s="78"/>
      <c r="B40" s="78"/>
      <c r="C40" s="78"/>
      <c r="D40" s="78"/>
      <c r="E40" s="78"/>
      <c r="F40" s="78"/>
      <c r="G40" s="78"/>
      <c r="H40" s="78"/>
      <c r="I40" s="147"/>
      <c r="J40" s="137"/>
      <c r="L40" s="61"/>
      <c r="M40" s="61"/>
    </row>
    <row r="41" spans="1:13" ht="13.2" x14ac:dyDescent="0.25">
      <c r="A41" s="78"/>
      <c r="B41" s="78"/>
      <c r="C41" s="78"/>
      <c r="D41" s="78"/>
      <c r="E41" s="78"/>
      <c r="F41" s="78"/>
      <c r="G41" s="78"/>
      <c r="H41" s="78"/>
      <c r="I41" s="147"/>
      <c r="J41" s="137"/>
      <c r="L41" s="61"/>
      <c r="M41" s="61"/>
    </row>
    <row r="42" spans="1:13" ht="13.2" x14ac:dyDescent="0.25">
      <c r="A42" s="78"/>
      <c r="B42" s="78"/>
      <c r="C42" s="78"/>
      <c r="D42" s="78"/>
      <c r="E42" s="78"/>
      <c r="F42" s="78"/>
      <c r="G42" s="78"/>
      <c r="H42" s="78"/>
      <c r="I42" s="147"/>
      <c r="J42" s="137"/>
      <c r="L42" s="61"/>
      <c r="M42" s="61"/>
    </row>
    <row r="43" spans="1:13" ht="13.2" x14ac:dyDescent="0.25">
      <c r="A43" s="78"/>
      <c r="B43" s="78"/>
      <c r="C43" s="78"/>
      <c r="D43" s="78"/>
      <c r="E43" s="78"/>
      <c r="F43" s="78"/>
      <c r="G43" s="78"/>
      <c r="H43" s="78"/>
      <c r="I43" s="147"/>
      <c r="J43" s="137"/>
      <c r="L43" s="61"/>
      <c r="M43" s="61"/>
    </row>
    <row r="44" spans="1:13" ht="13.2" x14ac:dyDescent="0.25">
      <c r="A44" s="78"/>
      <c r="B44" s="78"/>
      <c r="C44" s="78"/>
      <c r="D44" s="78"/>
      <c r="E44" s="78"/>
      <c r="F44" s="78"/>
      <c r="G44" s="78"/>
      <c r="H44" s="78"/>
      <c r="I44" s="147"/>
      <c r="J44" s="137"/>
      <c r="L44" s="61"/>
      <c r="M44" s="61"/>
    </row>
    <row r="45" spans="1:13" ht="13.2" x14ac:dyDescent="0.25">
      <c r="A45" s="78"/>
      <c r="B45" s="78"/>
      <c r="C45" s="78"/>
      <c r="D45" s="78"/>
      <c r="E45" s="78"/>
      <c r="F45" s="78"/>
      <c r="G45" s="78"/>
      <c r="H45" s="78"/>
      <c r="I45" s="147"/>
      <c r="J45" s="137"/>
      <c r="L45" s="61"/>
      <c r="M45" s="61"/>
    </row>
    <row r="46" spans="1:13" ht="13.2" x14ac:dyDescent="0.25">
      <c r="A46" s="78"/>
      <c r="B46" s="78"/>
      <c r="C46" s="78"/>
      <c r="D46" s="78"/>
      <c r="E46" s="78"/>
      <c r="F46" s="78"/>
      <c r="G46" s="78"/>
      <c r="H46" s="78"/>
      <c r="I46" s="147"/>
      <c r="J46" s="137"/>
      <c r="L46" s="61"/>
      <c r="M46" s="61"/>
    </row>
    <row r="47" spans="1:13" ht="13.2" x14ac:dyDescent="0.25">
      <c r="A47" s="78"/>
      <c r="B47" s="78"/>
      <c r="C47" s="78"/>
      <c r="D47" s="78"/>
      <c r="E47" s="78"/>
      <c r="F47" s="78"/>
      <c r="G47" s="78"/>
      <c r="H47" s="78"/>
      <c r="I47" s="147"/>
      <c r="J47" s="137"/>
      <c r="L47" s="61"/>
      <c r="M47" s="61"/>
    </row>
    <row r="48" spans="1:13" ht="13.2" x14ac:dyDescent="0.25">
      <c r="A48" s="78"/>
      <c r="B48" s="78"/>
      <c r="C48" s="78"/>
      <c r="D48" s="78"/>
      <c r="E48" s="78"/>
      <c r="F48" s="78"/>
      <c r="G48" s="78"/>
      <c r="H48" s="78"/>
      <c r="I48" s="147"/>
      <c r="J48" s="137"/>
      <c r="L48" s="61"/>
      <c r="M48" s="61"/>
    </row>
    <row r="49" spans="1:13" ht="13.2" x14ac:dyDescent="0.25">
      <c r="A49" s="78"/>
      <c r="B49" s="78"/>
      <c r="C49" s="78"/>
      <c r="D49" s="78"/>
      <c r="E49" s="78"/>
      <c r="F49" s="78"/>
      <c r="G49" s="78"/>
      <c r="H49" s="78"/>
      <c r="I49" s="147"/>
      <c r="J49" s="137"/>
      <c r="L49" s="61"/>
      <c r="M49" s="61"/>
    </row>
    <row r="50" spans="1:13" ht="13.2" x14ac:dyDescent="0.25">
      <c r="A50" s="78"/>
      <c r="B50" s="78"/>
      <c r="C50" s="78"/>
      <c r="D50" s="78"/>
      <c r="E50" s="78"/>
      <c r="F50" s="78"/>
      <c r="G50" s="78"/>
      <c r="H50" s="78"/>
      <c r="I50" s="147"/>
      <c r="J50" s="137"/>
      <c r="L50" s="61"/>
      <c r="M50" s="61"/>
    </row>
    <row r="51" spans="1:13" ht="13.2" x14ac:dyDescent="0.25">
      <c r="A51" s="78"/>
      <c r="B51" s="78"/>
      <c r="C51" s="78"/>
      <c r="D51" s="78"/>
      <c r="E51" s="78"/>
      <c r="F51" s="78"/>
      <c r="G51" s="78"/>
      <c r="H51" s="78"/>
      <c r="I51" s="147"/>
      <c r="J51" s="137"/>
      <c r="L51" s="61"/>
      <c r="M51" s="61"/>
    </row>
    <row r="52" spans="1:13" ht="13.2" x14ac:dyDescent="0.25">
      <c r="A52" s="78"/>
      <c r="B52" s="78"/>
      <c r="C52" s="78"/>
      <c r="D52" s="78"/>
      <c r="E52" s="78"/>
      <c r="F52" s="78"/>
      <c r="G52" s="78"/>
      <c r="H52" s="78"/>
      <c r="I52" s="147"/>
      <c r="J52" s="137"/>
      <c r="L52" s="61"/>
      <c r="M52" s="61"/>
    </row>
    <row r="53" spans="1:13" ht="13.2" x14ac:dyDescent="0.25">
      <c r="A53" s="78"/>
      <c r="B53" s="78"/>
      <c r="C53" s="78"/>
      <c r="D53" s="78"/>
      <c r="E53" s="78"/>
      <c r="F53" s="78"/>
      <c r="G53" s="78"/>
      <c r="H53" s="78"/>
      <c r="I53" s="147"/>
      <c r="J53" s="137"/>
      <c r="L53" s="61"/>
      <c r="M53" s="61"/>
    </row>
    <row r="54" spans="1:13" ht="13.2" x14ac:dyDescent="0.25">
      <c r="A54" s="78"/>
      <c r="B54" s="78"/>
      <c r="C54" s="78"/>
      <c r="D54" s="78"/>
      <c r="E54" s="78"/>
      <c r="F54" s="78"/>
      <c r="G54" s="78"/>
      <c r="H54" s="78"/>
      <c r="I54" s="147"/>
      <c r="J54" s="137"/>
      <c r="L54" s="61"/>
      <c r="M54" s="61"/>
    </row>
    <row r="55" spans="1:13" ht="13.2" x14ac:dyDescent="0.25">
      <c r="A55" s="78"/>
      <c r="B55" s="78"/>
      <c r="C55" s="78"/>
      <c r="D55" s="78"/>
      <c r="E55" s="78"/>
      <c r="F55" s="78"/>
      <c r="G55" s="78"/>
      <c r="H55" s="78"/>
      <c r="I55" s="147"/>
      <c r="J55" s="137"/>
      <c r="L55" s="61"/>
      <c r="M55" s="61"/>
    </row>
    <row r="56" spans="1:13" ht="13.2" x14ac:dyDescent="0.25">
      <c r="A56" s="78"/>
      <c r="B56" s="78"/>
      <c r="C56" s="78"/>
      <c r="D56" s="78"/>
      <c r="E56" s="78"/>
      <c r="F56" s="78"/>
      <c r="G56" s="78"/>
      <c r="H56" s="78"/>
      <c r="I56" s="147"/>
      <c r="J56" s="137"/>
      <c r="L56" s="61"/>
      <c r="M56" s="61"/>
    </row>
    <row r="57" spans="1:13" ht="13.2" x14ac:dyDescent="0.25">
      <c r="A57" s="78"/>
      <c r="B57" s="78"/>
      <c r="C57" s="78"/>
      <c r="D57" s="78"/>
      <c r="E57" s="78"/>
      <c r="F57" s="78"/>
      <c r="G57" s="78"/>
      <c r="H57" s="78"/>
      <c r="I57" s="147"/>
      <c r="J57" s="137"/>
      <c r="L57" s="61"/>
      <c r="M57" s="61"/>
    </row>
    <row r="58" spans="1:13" ht="13.2" x14ac:dyDescent="0.25">
      <c r="A58" s="78"/>
      <c r="B58" s="78"/>
      <c r="C58" s="78"/>
      <c r="D58" s="78"/>
      <c r="E58" s="78"/>
      <c r="F58" s="78"/>
      <c r="G58" s="78"/>
      <c r="H58" s="78"/>
      <c r="I58" s="147"/>
      <c r="J58" s="137"/>
      <c r="L58" s="61"/>
      <c r="M58" s="61"/>
    </row>
    <row r="59" spans="1:13" ht="13.2" x14ac:dyDescent="0.25">
      <c r="A59" s="78"/>
      <c r="B59" s="78"/>
      <c r="C59" s="78"/>
      <c r="D59" s="78"/>
      <c r="E59" s="78"/>
      <c r="F59" s="78"/>
      <c r="G59" s="78"/>
      <c r="H59" s="78"/>
      <c r="I59" s="147"/>
      <c r="J59" s="137"/>
      <c r="L59" s="61"/>
      <c r="M59" s="61"/>
    </row>
    <row r="60" spans="1:13" ht="13.2" x14ac:dyDescent="0.25">
      <c r="A60" s="78"/>
      <c r="B60" s="78"/>
      <c r="C60" s="78"/>
      <c r="D60" s="78"/>
      <c r="E60" s="78"/>
      <c r="F60" s="78"/>
      <c r="G60" s="78"/>
      <c r="H60" s="78"/>
      <c r="I60" s="147"/>
      <c r="J60" s="137"/>
      <c r="L60" s="61"/>
      <c r="M60" s="61"/>
    </row>
    <row r="61" spans="1:13" ht="13.2" x14ac:dyDescent="0.25">
      <c r="A61" s="78"/>
      <c r="B61" s="78"/>
      <c r="C61" s="78"/>
      <c r="D61" s="78"/>
      <c r="E61" s="78"/>
      <c r="F61" s="78"/>
      <c r="G61" s="78"/>
      <c r="H61" s="78"/>
      <c r="I61" s="147"/>
      <c r="J61" s="137"/>
      <c r="L61" s="61"/>
      <c r="M61" s="61"/>
    </row>
    <row r="62" spans="1:13" ht="13.2" x14ac:dyDescent="0.25">
      <c r="A62" s="78"/>
      <c r="B62" s="78"/>
      <c r="C62" s="78"/>
      <c r="D62" s="78"/>
      <c r="E62" s="78"/>
      <c r="F62" s="78"/>
      <c r="G62" s="78"/>
      <c r="H62" s="78"/>
      <c r="I62" s="147"/>
      <c r="J62" s="137"/>
      <c r="L62" s="61"/>
      <c r="M62" s="61"/>
    </row>
    <row r="63" spans="1:13" ht="13.2" x14ac:dyDescent="0.25">
      <c r="A63" s="78"/>
      <c r="B63" s="78"/>
      <c r="C63" s="78"/>
      <c r="D63" s="78"/>
      <c r="E63" s="78"/>
      <c r="F63" s="78"/>
      <c r="G63" s="78"/>
      <c r="H63" s="78"/>
      <c r="I63" s="147"/>
      <c r="J63" s="137"/>
      <c r="L63" s="61"/>
      <c r="M63" s="61"/>
    </row>
    <row r="64" spans="1:13" ht="13.2" x14ac:dyDescent="0.25">
      <c r="A64" s="78"/>
      <c r="B64" s="78"/>
      <c r="C64" s="78"/>
      <c r="D64" s="78"/>
      <c r="E64" s="78"/>
      <c r="F64" s="78"/>
      <c r="G64" s="78"/>
      <c r="H64" s="78"/>
      <c r="I64" s="147"/>
      <c r="J64" s="137"/>
      <c r="L64" s="61"/>
      <c r="M64" s="61"/>
    </row>
    <row r="65" spans="1:13" ht="13.2" x14ac:dyDescent="0.25">
      <c r="A65" s="78"/>
      <c r="B65" s="78"/>
      <c r="C65" s="78"/>
      <c r="D65" s="78"/>
      <c r="E65" s="78"/>
      <c r="F65" s="78"/>
      <c r="G65" s="78"/>
      <c r="H65" s="78"/>
      <c r="I65" s="147"/>
      <c r="J65" s="137"/>
      <c r="L65" s="61"/>
      <c r="M65" s="61"/>
    </row>
    <row r="66" spans="1:13" ht="13.2" x14ac:dyDescent="0.25">
      <c r="A66" s="78"/>
      <c r="B66" s="78"/>
      <c r="C66" s="78"/>
      <c r="D66" s="78"/>
      <c r="E66" s="78"/>
      <c r="F66" s="78"/>
      <c r="G66" s="78"/>
      <c r="H66" s="78"/>
      <c r="I66" s="147"/>
      <c r="J66" s="137"/>
      <c r="L66" s="61"/>
      <c r="M66" s="61"/>
    </row>
    <row r="67" spans="1:13" ht="13.2" x14ac:dyDescent="0.25">
      <c r="A67" s="78"/>
      <c r="B67" s="78"/>
      <c r="C67" s="78"/>
      <c r="D67" s="78"/>
      <c r="E67" s="78"/>
      <c r="F67" s="78"/>
      <c r="G67" s="78"/>
      <c r="H67" s="78"/>
      <c r="I67" s="147"/>
      <c r="J67" s="137"/>
      <c r="L67" s="61"/>
      <c r="M67" s="61"/>
    </row>
    <row r="68" spans="1:13" ht="13.2" x14ac:dyDescent="0.25">
      <c r="A68" s="78"/>
      <c r="B68" s="78"/>
      <c r="C68" s="78"/>
      <c r="D68" s="78"/>
      <c r="E68" s="78"/>
      <c r="F68" s="78"/>
      <c r="G68" s="78"/>
      <c r="H68" s="78"/>
      <c r="I68" s="147"/>
      <c r="J68" s="137"/>
      <c r="L68" s="61"/>
      <c r="M68" s="61"/>
    </row>
    <row r="69" spans="1:13" ht="13.2" x14ac:dyDescent="0.25">
      <c r="A69" s="78"/>
      <c r="B69" s="78"/>
      <c r="C69" s="78"/>
      <c r="D69" s="78"/>
      <c r="E69" s="78"/>
      <c r="F69" s="78"/>
      <c r="G69" s="78"/>
      <c r="H69" s="78"/>
      <c r="I69" s="147"/>
      <c r="J69" s="137"/>
      <c r="L69" s="61"/>
      <c r="M69" s="61"/>
    </row>
    <row r="70" spans="1:13" ht="13.2" x14ac:dyDescent="0.25">
      <c r="A70" s="78"/>
      <c r="B70" s="78"/>
      <c r="C70" s="78"/>
      <c r="D70" s="78"/>
      <c r="E70" s="78"/>
      <c r="F70" s="78"/>
      <c r="G70" s="78"/>
      <c r="H70" s="78"/>
      <c r="I70" s="147"/>
      <c r="J70" s="137"/>
      <c r="L70" s="61"/>
      <c r="M70" s="61"/>
    </row>
    <row r="71" spans="1:13" ht="13.2" x14ac:dyDescent="0.25">
      <c r="A71" s="78"/>
      <c r="B71" s="78"/>
      <c r="C71" s="78"/>
      <c r="D71" s="78"/>
      <c r="E71" s="78"/>
      <c r="F71" s="78"/>
      <c r="G71" s="78"/>
      <c r="H71" s="78"/>
      <c r="I71" s="147"/>
      <c r="J71" s="137"/>
      <c r="L71" s="61"/>
      <c r="M71" s="61"/>
    </row>
    <row r="72" spans="1:13" ht="13.2" x14ac:dyDescent="0.25">
      <c r="A72" s="78"/>
      <c r="B72" s="78"/>
      <c r="C72" s="78"/>
      <c r="D72" s="78"/>
      <c r="E72" s="78"/>
      <c r="F72" s="78"/>
      <c r="G72" s="78"/>
      <c r="H72" s="78"/>
      <c r="I72" s="147"/>
      <c r="J72" s="137"/>
      <c r="L72" s="61"/>
      <c r="M72" s="61"/>
    </row>
    <row r="73" spans="1:13" ht="13.2" x14ac:dyDescent="0.25">
      <c r="A73" s="78"/>
      <c r="B73" s="78"/>
      <c r="C73" s="78"/>
      <c r="D73" s="78"/>
      <c r="E73" s="78"/>
      <c r="F73" s="78"/>
      <c r="G73" s="78"/>
      <c r="H73" s="78"/>
      <c r="I73" s="147"/>
      <c r="J73" s="137"/>
      <c r="L73" s="61"/>
      <c r="M73" s="61"/>
    </row>
    <row r="74" spans="1:13" ht="13.2" x14ac:dyDescent="0.25">
      <c r="A74" s="78"/>
      <c r="B74" s="78"/>
      <c r="C74" s="78"/>
      <c r="D74" s="78"/>
      <c r="E74" s="78"/>
      <c r="F74" s="78"/>
      <c r="G74" s="78"/>
      <c r="H74" s="78"/>
      <c r="I74" s="147"/>
      <c r="J74" s="137"/>
      <c r="L74" s="61"/>
      <c r="M74" s="61"/>
    </row>
    <row r="75" spans="1:13" ht="13.2" x14ac:dyDescent="0.25">
      <c r="A75" s="78"/>
      <c r="B75" s="78"/>
      <c r="C75" s="78"/>
      <c r="D75" s="78"/>
      <c r="E75" s="78"/>
      <c r="F75" s="78"/>
      <c r="G75" s="78"/>
      <c r="H75" s="78"/>
      <c r="I75" s="147"/>
      <c r="J75" s="137"/>
      <c r="L75" s="61"/>
      <c r="M75" s="61"/>
    </row>
    <row r="76" spans="1:13" ht="13.2" x14ac:dyDescent="0.25">
      <c r="A76" s="78"/>
      <c r="B76" s="78"/>
      <c r="C76" s="78"/>
      <c r="D76" s="78"/>
      <c r="E76" s="78"/>
      <c r="F76" s="78"/>
      <c r="G76" s="78"/>
      <c r="H76" s="78"/>
      <c r="I76" s="147"/>
      <c r="J76" s="137"/>
      <c r="L76" s="61"/>
      <c r="M76" s="61"/>
    </row>
    <row r="77" spans="1:13" ht="13.2" x14ac:dyDescent="0.25">
      <c r="A77" s="78"/>
      <c r="B77" s="78"/>
      <c r="C77" s="78"/>
      <c r="D77" s="78"/>
      <c r="E77" s="78"/>
      <c r="F77" s="78"/>
      <c r="G77" s="78"/>
      <c r="H77" s="78"/>
      <c r="I77" s="147"/>
      <c r="J77" s="137"/>
      <c r="L77" s="61"/>
      <c r="M77" s="61"/>
    </row>
    <row r="78" spans="1:13" ht="13.2" x14ac:dyDescent="0.25">
      <c r="A78" s="78"/>
      <c r="B78" s="78"/>
      <c r="C78" s="78"/>
      <c r="D78" s="78"/>
      <c r="E78" s="78"/>
      <c r="F78" s="78"/>
      <c r="G78" s="78"/>
      <c r="H78" s="78"/>
      <c r="I78" s="147"/>
      <c r="J78" s="137"/>
      <c r="L78" s="61"/>
      <c r="M78" s="61"/>
    </row>
    <row r="79" spans="1:13" ht="13.2" x14ac:dyDescent="0.25">
      <c r="A79" s="78"/>
      <c r="B79" s="78"/>
      <c r="C79" s="78"/>
      <c r="D79" s="78"/>
      <c r="E79" s="78"/>
      <c r="F79" s="78"/>
      <c r="G79" s="78"/>
      <c r="H79" s="78"/>
      <c r="I79" s="147"/>
      <c r="J79" s="137"/>
      <c r="L79" s="61"/>
      <c r="M79" s="61"/>
    </row>
    <row r="80" spans="1:13" ht="13.2" x14ac:dyDescent="0.25">
      <c r="A80" s="78"/>
      <c r="B80" s="78"/>
      <c r="C80" s="78"/>
      <c r="D80" s="78"/>
      <c r="E80" s="78"/>
      <c r="F80" s="78"/>
      <c r="G80" s="78"/>
      <c r="H80" s="78"/>
      <c r="I80" s="147"/>
      <c r="J80" s="137"/>
      <c r="L80" s="61"/>
      <c r="M80" s="61"/>
    </row>
    <row r="81" spans="1:13" ht="13.2" x14ac:dyDescent="0.25">
      <c r="A81" s="78"/>
      <c r="B81" s="78"/>
      <c r="C81" s="78"/>
      <c r="D81" s="78"/>
      <c r="E81" s="78"/>
      <c r="F81" s="78"/>
      <c r="G81" s="78"/>
      <c r="H81" s="78"/>
      <c r="I81" s="147"/>
      <c r="J81" s="137"/>
      <c r="L81" s="61"/>
      <c r="M81" s="61"/>
    </row>
    <row r="82" spans="1:13" ht="13.2" x14ac:dyDescent="0.25">
      <c r="A82" s="78"/>
      <c r="B82" s="78"/>
      <c r="C82" s="78"/>
      <c r="D82" s="78"/>
      <c r="E82" s="78"/>
      <c r="F82" s="78"/>
      <c r="G82" s="78"/>
      <c r="H82" s="78"/>
      <c r="I82" s="147"/>
      <c r="J82" s="137"/>
      <c r="L82" s="61"/>
      <c r="M82" s="61"/>
    </row>
    <row r="83" spans="1:13" ht="13.2" x14ac:dyDescent="0.25">
      <c r="A83" s="78"/>
      <c r="B83" s="78"/>
      <c r="C83" s="78"/>
      <c r="D83" s="78"/>
      <c r="E83" s="78"/>
      <c r="F83" s="78"/>
      <c r="G83" s="78"/>
      <c r="H83" s="78"/>
      <c r="I83" s="147"/>
      <c r="J83" s="137"/>
      <c r="L83" s="61"/>
      <c r="M83" s="61"/>
    </row>
    <row r="84" spans="1:13" ht="13.2" x14ac:dyDescent="0.25">
      <c r="A84" s="78"/>
      <c r="B84" s="78"/>
      <c r="C84" s="78"/>
      <c r="D84" s="78"/>
      <c r="E84" s="78"/>
      <c r="F84" s="78"/>
      <c r="G84" s="78"/>
      <c r="H84" s="78"/>
      <c r="I84" s="147"/>
      <c r="J84" s="137"/>
      <c r="L84" s="61"/>
      <c r="M84" s="61"/>
    </row>
    <row r="85" spans="1:13" ht="13.2" x14ac:dyDescent="0.25">
      <c r="A85" s="78"/>
      <c r="B85" s="78"/>
      <c r="C85" s="78"/>
      <c r="D85" s="78"/>
      <c r="E85" s="78"/>
      <c r="F85" s="78"/>
      <c r="G85" s="78"/>
      <c r="H85" s="78"/>
      <c r="I85" s="147"/>
      <c r="J85" s="137"/>
      <c r="L85" s="61"/>
      <c r="M85" s="61"/>
    </row>
    <row r="86" spans="1:13" ht="13.2" x14ac:dyDescent="0.25">
      <c r="A86" s="78"/>
      <c r="B86" s="78"/>
      <c r="C86" s="78"/>
      <c r="D86" s="78"/>
      <c r="E86" s="78"/>
      <c r="F86" s="78"/>
      <c r="G86" s="78"/>
      <c r="H86" s="78"/>
      <c r="I86" s="147"/>
      <c r="J86" s="137"/>
      <c r="L86" s="61"/>
      <c r="M86" s="61"/>
    </row>
    <row r="87" spans="1:13" ht="13.2" x14ac:dyDescent="0.25">
      <c r="A87" s="78"/>
      <c r="B87" s="78"/>
      <c r="C87" s="78"/>
      <c r="D87" s="78"/>
      <c r="E87" s="78"/>
      <c r="F87" s="78"/>
      <c r="G87" s="78"/>
      <c r="H87" s="78"/>
      <c r="I87" s="147"/>
      <c r="J87" s="137"/>
      <c r="L87" s="61"/>
      <c r="M87" s="61"/>
    </row>
    <row r="88" spans="1:13" ht="13.2" x14ac:dyDescent="0.25">
      <c r="A88" s="78"/>
      <c r="B88" s="78"/>
      <c r="C88" s="78"/>
      <c r="D88" s="78"/>
      <c r="E88" s="78"/>
      <c r="F88" s="78"/>
      <c r="G88" s="78"/>
      <c r="H88" s="78"/>
      <c r="I88" s="147"/>
      <c r="J88" s="137"/>
      <c r="L88" s="61"/>
      <c r="M88" s="61"/>
    </row>
    <row r="89" spans="1:13" ht="13.2" x14ac:dyDescent="0.25">
      <c r="A89" s="78"/>
      <c r="B89" s="78"/>
      <c r="C89" s="78"/>
      <c r="D89" s="78"/>
      <c r="E89" s="78"/>
      <c r="F89" s="78"/>
      <c r="G89" s="78"/>
      <c r="H89" s="78"/>
      <c r="I89" s="147"/>
      <c r="J89" s="137"/>
      <c r="L89" s="61"/>
      <c r="M89" s="61"/>
    </row>
    <row r="90" spans="1:13" ht="13.2" x14ac:dyDescent="0.25">
      <c r="A90" s="78"/>
      <c r="B90" s="78"/>
      <c r="C90" s="78"/>
      <c r="D90" s="78"/>
      <c r="E90" s="78"/>
      <c r="F90" s="78"/>
      <c r="G90" s="78"/>
      <c r="H90" s="78"/>
      <c r="I90" s="147"/>
      <c r="J90" s="137"/>
      <c r="L90" s="61"/>
      <c r="M90" s="61"/>
    </row>
    <row r="91" spans="1:13" ht="13.2" x14ac:dyDescent="0.25">
      <c r="A91" s="78"/>
      <c r="B91" s="78"/>
      <c r="C91" s="78"/>
      <c r="D91" s="78"/>
      <c r="E91" s="78"/>
      <c r="F91" s="78"/>
      <c r="G91" s="78"/>
      <c r="H91" s="78"/>
      <c r="I91" s="147"/>
      <c r="J91" s="137"/>
      <c r="L91" s="61"/>
      <c r="M91" s="61"/>
    </row>
    <row r="92" spans="1:13" ht="13.2" x14ac:dyDescent="0.25">
      <c r="A92" s="78"/>
      <c r="B92" s="78"/>
      <c r="C92" s="78"/>
      <c r="D92" s="78"/>
      <c r="E92" s="78"/>
      <c r="F92" s="78"/>
      <c r="G92" s="78"/>
      <c r="H92" s="78"/>
      <c r="I92" s="147"/>
      <c r="J92" s="137"/>
      <c r="L92" s="61"/>
      <c r="M92" s="61"/>
    </row>
    <row r="93" spans="1:13" ht="13.2" x14ac:dyDescent="0.25">
      <c r="A93" s="78"/>
      <c r="B93" s="78"/>
      <c r="C93" s="78"/>
      <c r="D93" s="78"/>
      <c r="E93" s="78"/>
      <c r="F93" s="78"/>
      <c r="G93" s="78"/>
      <c r="H93" s="78"/>
      <c r="I93" s="147"/>
      <c r="J93" s="137"/>
      <c r="L93" s="61"/>
      <c r="M93" s="61"/>
    </row>
    <row r="94" spans="1:13" ht="13.2" x14ac:dyDescent="0.25">
      <c r="A94" s="78"/>
      <c r="B94" s="78"/>
      <c r="C94" s="78"/>
      <c r="D94" s="78"/>
      <c r="E94" s="78"/>
      <c r="F94" s="78"/>
      <c r="G94" s="78"/>
      <c r="H94" s="78"/>
      <c r="I94" s="147"/>
      <c r="J94" s="137"/>
      <c r="L94" s="61"/>
      <c r="M94" s="61"/>
    </row>
    <row r="95" spans="1:13" ht="13.2" x14ac:dyDescent="0.25">
      <c r="A95" s="78"/>
      <c r="B95" s="78"/>
      <c r="C95" s="78"/>
      <c r="D95" s="78"/>
      <c r="E95" s="78"/>
      <c r="F95" s="78"/>
      <c r="G95" s="78"/>
      <c r="H95" s="78"/>
      <c r="I95" s="147"/>
      <c r="J95" s="137"/>
      <c r="L95" s="61"/>
      <c r="M95" s="61"/>
    </row>
    <row r="96" spans="1:13" ht="13.2" x14ac:dyDescent="0.25">
      <c r="A96" s="78"/>
      <c r="B96" s="78"/>
      <c r="C96" s="78"/>
      <c r="D96" s="78"/>
      <c r="E96" s="78"/>
      <c r="F96" s="78"/>
      <c r="G96" s="78"/>
      <c r="H96" s="78"/>
      <c r="I96" s="147"/>
      <c r="J96" s="137"/>
      <c r="L96" s="61"/>
      <c r="M96" s="61"/>
    </row>
    <row r="97" spans="1:13" ht="13.2" x14ac:dyDescent="0.25">
      <c r="A97" s="78"/>
      <c r="B97" s="78"/>
      <c r="C97" s="78"/>
      <c r="D97" s="78"/>
      <c r="E97" s="78"/>
      <c r="F97" s="78"/>
      <c r="G97" s="78"/>
      <c r="H97" s="78"/>
      <c r="I97" s="147"/>
      <c r="J97" s="137"/>
      <c r="L97" s="61"/>
      <c r="M97" s="61"/>
    </row>
    <row r="98" spans="1:13" ht="13.2" x14ac:dyDescent="0.25">
      <c r="A98" s="78"/>
      <c r="B98" s="78"/>
      <c r="C98" s="78"/>
      <c r="D98" s="78"/>
      <c r="E98" s="78"/>
      <c r="F98" s="78"/>
      <c r="G98" s="78"/>
      <c r="H98" s="78"/>
      <c r="I98" s="147"/>
      <c r="J98" s="137"/>
      <c r="L98" s="61"/>
      <c r="M98" s="61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2"/>
  <sheetViews>
    <sheetView workbookViewId="0"/>
  </sheetViews>
  <sheetFormatPr defaultColWidth="14.44140625" defaultRowHeight="12.75" customHeight="1" x14ac:dyDescent="0.25"/>
  <cols>
    <col min="1" max="2" width="17.33203125" customWidth="1"/>
    <col min="3" max="3" width="19.88671875" customWidth="1"/>
    <col min="4" max="20" width="17.33203125" customWidth="1"/>
  </cols>
  <sheetData>
    <row r="1" spans="1:4" ht="12.75" customHeight="1" x14ac:dyDescent="0.25">
      <c r="A1" s="156" t="s">
        <v>404</v>
      </c>
      <c r="B1" s="126" t="s">
        <v>405</v>
      </c>
      <c r="C1" s="126" t="s">
        <v>406</v>
      </c>
    </row>
    <row r="2" spans="1:4" ht="12.75" customHeight="1" x14ac:dyDescent="0.25">
      <c r="A2" s="42" t="s">
        <v>175</v>
      </c>
      <c r="B2" s="158">
        <v>1650</v>
      </c>
      <c r="C2" s="126">
        <v>900</v>
      </c>
      <c r="D2" s="136">
        <f t="shared" ref="D2:D11" si="0">C2/B2</f>
        <v>0.54545454545454541</v>
      </c>
    </row>
    <row r="3" spans="1:4" ht="12.75" customHeight="1" x14ac:dyDescent="0.25">
      <c r="A3" s="31" t="s">
        <v>71</v>
      </c>
      <c r="B3" s="158">
        <v>1375</v>
      </c>
      <c r="C3" s="126">
        <v>775</v>
      </c>
      <c r="D3" s="136">
        <f t="shared" si="0"/>
        <v>0.5636363636363636</v>
      </c>
    </row>
    <row r="4" spans="1:4" ht="12.75" customHeight="1" x14ac:dyDescent="0.25">
      <c r="A4" s="42" t="s">
        <v>108</v>
      </c>
      <c r="B4" s="158">
        <v>1600</v>
      </c>
      <c r="C4" s="126">
        <v>1000</v>
      </c>
      <c r="D4" s="136">
        <f t="shared" si="0"/>
        <v>0.625</v>
      </c>
    </row>
    <row r="5" spans="1:4" ht="12.75" customHeight="1" x14ac:dyDescent="0.25">
      <c r="A5" s="42" t="s">
        <v>204</v>
      </c>
      <c r="B5" s="158">
        <v>900</v>
      </c>
      <c r="C5" s="126">
        <v>650</v>
      </c>
      <c r="D5" s="136">
        <f t="shared" si="0"/>
        <v>0.72222222222222221</v>
      </c>
    </row>
    <row r="6" spans="1:4" ht="12.75" customHeight="1" x14ac:dyDescent="0.25">
      <c r="A6" s="42" t="s">
        <v>87</v>
      </c>
      <c r="B6" s="158">
        <v>1230</v>
      </c>
      <c r="C6" s="126">
        <v>935</v>
      </c>
      <c r="D6" s="136">
        <f t="shared" si="0"/>
        <v>0.76016260162601623</v>
      </c>
    </row>
    <row r="7" spans="1:4" ht="12.75" customHeight="1" x14ac:dyDescent="0.25">
      <c r="A7" s="42" t="s">
        <v>243</v>
      </c>
      <c r="B7" s="158">
        <v>1350</v>
      </c>
      <c r="C7" s="126">
        <v>1100</v>
      </c>
      <c r="D7" s="136">
        <f t="shared" si="0"/>
        <v>0.81481481481481477</v>
      </c>
    </row>
    <row r="8" spans="1:4" ht="12.75" customHeight="1" x14ac:dyDescent="0.25">
      <c r="A8" s="42" t="s">
        <v>139</v>
      </c>
      <c r="B8" s="158">
        <v>1000</v>
      </c>
      <c r="C8" s="126">
        <v>900</v>
      </c>
      <c r="D8" s="136">
        <f t="shared" si="0"/>
        <v>0.9</v>
      </c>
    </row>
    <row r="9" spans="1:4" ht="12.75" customHeight="1" x14ac:dyDescent="0.25">
      <c r="A9" s="42" t="s">
        <v>306</v>
      </c>
      <c r="B9" s="158">
        <v>1650</v>
      </c>
      <c r="C9" s="126">
        <v>1500</v>
      </c>
      <c r="D9" s="136">
        <f t="shared" si="0"/>
        <v>0.90909090909090906</v>
      </c>
    </row>
    <row r="10" spans="1:4" ht="12.75" customHeight="1" x14ac:dyDescent="0.25">
      <c r="A10" s="42" t="s">
        <v>163</v>
      </c>
      <c r="B10" s="158">
        <v>880</v>
      </c>
      <c r="C10" s="126">
        <v>820</v>
      </c>
      <c r="D10" s="136">
        <f t="shared" si="0"/>
        <v>0.93181818181818177</v>
      </c>
    </row>
    <row r="11" spans="1:4" ht="12.75" customHeight="1" x14ac:dyDescent="0.25">
      <c r="A11" s="42" t="s">
        <v>331</v>
      </c>
      <c r="B11" s="158">
        <v>1070</v>
      </c>
      <c r="C11" s="126">
        <v>1400</v>
      </c>
      <c r="D11" s="136">
        <f t="shared" si="0"/>
        <v>1.308411214953271</v>
      </c>
    </row>
    <row r="12" spans="1:4" ht="12.75" customHeight="1" x14ac:dyDescent="0.25">
      <c r="A12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8</vt:i4>
      </vt:variant>
      <vt:variant>
        <vt:lpstr>Диаграммы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исходные данные</vt:lpstr>
      <vt:lpstr>расчеты(проба)</vt:lpstr>
      <vt:lpstr>Формулы для расчётов</vt:lpstr>
      <vt:lpstr>стат. параметры</vt:lpstr>
      <vt:lpstr>Физ. величины для расчетов</vt:lpstr>
      <vt:lpstr>Теплопотери(mekkaod)</vt:lpstr>
      <vt:lpstr>Лист17</vt:lpstr>
      <vt:lpstr>Лист18</vt:lpstr>
      <vt:lpstr>Диаграмма Y</vt:lpstr>
      <vt:lpstr>Диаграмма Z</vt:lpstr>
      <vt:lpstr>Диаграмма АА</vt:lpstr>
      <vt:lpstr>Диаграмма АВ</vt:lpstr>
      <vt:lpstr>Диаграмма АС</vt:lpstr>
      <vt:lpstr>ИменованныйДиапазон1</vt:lpstr>
      <vt:lpstr>ИменованныйДиапазон2</vt:lpstr>
      <vt:lpstr>ИменованныйДиапазон3</vt:lpstr>
      <vt:lpstr>ИменованныйДиапазон4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GERMIONAVSHOKE</dc:creator>
  <cp:lastModifiedBy>Greek4</cp:lastModifiedBy>
  <dcterms:created xsi:type="dcterms:W3CDTF">2019-12-26T10:09:35Z</dcterms:created>
  <dcterms:modified xsi:type="dcterms:W3CDTF">2019-12-26T10:09:35Z</dcterms:modified>
</cp:coreProperties>
</file>