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xr:revisionPtr revIDLastSave="0" documentId="13_ncr:1000001_{015F2A4B-48D4-5F4F-8084-38B96AB53843}" xr6:coauthVersionLast="47" xr6:coauthVersionMax="47" xr10:uidLastSave="{00000000-0000-0000-0000-000000000000}"/>
  <bookViews>
    <workbookView xWindow="0" yWindow="0" windowWidth="0" windowHeight="0" activeTab="1" xr2:uid="{00000000-000D-0000-FFFF-FFFF00000000}"/>
  </bookViews>
  <sheets>
    <sheet name="реал. мощ." sheetId="1" r:id="rId1"/>
    <sheet name="генер. спирт. пара" sheetId="2" r:id="rId2"/>
    <sheet name="0пред. скорости отбора" sheetId="3" r:id="rId3"/>
    <sheet name="нагрев и испар. воды" sheetId="4" r:id="rId4"/>
    <sheet name="Смеш. воды" sheetId="5" r:id="rId5"/>
    <sheet name="Подключения" sheetId="6" r:id="rId6"/>
    <sheet name="точка росы" sheetId="7" r:id="rId7"/>
    <sheet name="Лист1" sheetId="8" r:id="rId8"/>
    <sheet name="Лист2" sheetId="9" r:id="rId9"/>
  </sheets>
  <definedNames>
    <definedName name="вольт">'реал. мощ.'!$E$2</definedName>
    <definedName name="градус">'нагрев и испар. воды'!$B$3</definedName>
    <definedName name="кВт">'реал. мощ.'!$A$12</definedName>
    <definedName name="литр">'нагрев и испар. воды'!$A$3</definedName>
    <definedName name="Мощ.тэна">'реал. мощ.'!$A$2</definedName>
    <definedName name="Мощность1">Подключения!$C$25</definedName>
    <definedName name="Мощность2">Подключения!$C$26</definedName>
    <definedName name="мОЩНОСТЬ3">Подключения!$C$27</definedName>
    <definedName name="Мощность4">Подключения!$C$28</definedName>
    <definedName name="напряжение" localSheetId="5">Подключения!$F$1</definedName>
    <definedName name="напряжение">#REF!</definedName>
    <definedName name="напряжение1">#REF!</definedName>
    <definedName name="напряжение2">#REF!</definedName>
    <definedName name="напряжение3">#REF!</definedName>
    <definedName name="Ом">'реал. мощ.'!$G$2</definedName>
    <definedName name="Ом1">Подключения!$H$8</definedName>
    <definedName name="Ом2">Подключения!$H$9</definedName>
    <definedName name="Ом3">Подключения!$H$10</definedName>
    <definedName name="Ом4">Подключения!$H$11</definedName>
    <definedName name="Реал_Мощность">'реал. мощ.'!$O$4</definedName>
    <definedName name="сек" localSheetId="5">#REF!</definedName>
    <definedName name="сек">'0пред. скорости отбора'!$C$3</definedName>
    <definedName name="шаг">'реал. мощ.'!$C$2</definedName>
    <definedName name="шаг.литр">'нагрев и испар. воды'!$C$3</definedName>
    <definedName name="шаг.темп.">'нагрев и испар. воды'!$D$3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5" roundtripDataChecksum="jDB4jnHLhe1Q0OsMH4RZYGgSalO6IK7mEYCsrsaon6Q="/>
    </ext>
  </extLst>
</workbook>
</file>

<file path=xl/calcChain.xml><?xml version="1.0" encoding="utf-8"?>
<calcChain xmlns="http://schemas.openxmlformats.org/spreadsheetml/2006/main">
  <c r="E15" i="7" l="1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I44" i="6"/>
  <c r="I45" i="6"/>
  <c r="I46" i="6"/>
  <c r="L46" i="6"/>
  <c r="L48" i="6"/>
  <c r="J48" i="6"/>
  <c r="H50" i="6"/>
  <c r="D44" i="6"/>
  <c r="E44" i="6"/>
  <c r="D45" i="6"/>
  <c r="E45" i="6"/>
  <c r="D46" i="6"/>
  <c r="E46" i="6"/>
  <c r="F46" i="6"/>
  <c r="D48" i="6"/>
  <c r="F48" i="6"/>
  <c r="C50" i="6"/>
  <c r="K48" i="6"/>
  <c r="E48" i="6"/>
  <c r="H30" i="6"/>
  <c r="D25" i="6"/>
  <c r="D26" i="6"/>
  <c r="D27" i="6"/>
  <c r="D28" i="6"/>
  <c r="D29" i="6"/>
  <c r="C30" i="6"/>
  <c r="I8" i="6"/>
  <c r="I9" i="6"/>
  <c r="I10" i="6"/>
  <c r="I11" i="6"/>
  <c r="I12" i="6"/>
  <c r="H13" i="6"/>
  <c r="C13" i="6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C18" i="4"/>
  <c r="B12" i="4"/>
  <c r="B13" i="4"/>
  <c r="B14" i="4"/>
  <c r="B15" i="4"/>
  <c r="B16" i="4"/>
  <c r="B17" i="4"/>
  <c r="B18" i="4"/>
  <c r="A12" i="4"/>
  <c r="A13" i="4"/>
  <c r="A14" i="4"/>
  <c r="A15" i="4"/>
  <c r="A16" i="4"/>
  <c r="A17" i="4"/>
  <c r="A18" i="4"/>
  <c r="D18" i="4"/>
  <c r="G3" i="4"/>
  <c r="F18" i="4"/>
  <c r="I18" i="4"/>
  <c r="H18" i="4"/>
  <c r="G18" i="4"/>
  <c r="E18" i="4"/>
  <c r="C17" i="4"/>
  <c r="D17" i="4"/>
  <c r="F17" i="4"/>
  <c r="I17" i="4"/>
  <c r="H17" i="4"/>
  <c r="G17" i="4"/>
  <c r="E17" i="4"/>
  <c r="C16" i="4"/>
  <c r="D16" i="4"/>
  <c r="F16" i="4"/>
  <c r="I16" i="4"/>
  <c r="H16" i="4"/>
  <c r="G16" i="4"/>
  <c r="E16" i="4"/>
  <c r="C15" i="4"/>
  <c r="D15" i="4"/>
  <c r="F15" i="4"/>
  <c r="I15" i="4"/>
  <c r="H15" i="4"/>
  <c r="G15" i="4"/>
  <c r="E15" i="4"/>
  <c r="C14" i="4"/>
  <c r="D14" i="4"/>
  <c r="F14" i="4"/>
  <c r="I14" i="4"/>
  <c r="H14" i="4"/>
  <c r="G14" i="4"/>
  <c r="E14" i="4"/>
  <c r="C13" i="4"/>
  <c r="D13" i="4"/>
  <c r="F13" i="4"/>
  <c r="I13" i="4"/>
  <c r="H13" i="4"/>
  <c r="G13" i="4"/>
  <c r="E13" i="4"/>
  <c r="C12" i="4"/>
  <c r="D12" i="4"/>
  <c r="F12" i="4"/>
  <c r="I12" i="4"/>
  <c r="H12" i="4"/>
  <c r="G12" i="4"/>
  <c r="E12" i="4"/>
  <c r="C11" i="4"/>
  <c r="B11" i="4"/>
  <c r="A11" i="4"/>
  <c r="D11" i="4"/>
  <c r="F11" i="4"/>
  <c r="I11" i="4"/>
  <c r="H11" i="4"/>
  <c r="G11" i="4"/>
  <c r="E11" i="4"/>
  <c r="C10" i="4"/>
  <c r="B10" i="4"/>
  <c r="A10" i="4"/>
  <c r="D10" i="4"/>
  <c r="F10" i="4"/>
  <c r="I10" i="4"/>
  <c r="H10" i="4"/>
  <c r="G10" i="4"/>
  <c r="E10" i="4"/>
  <c r="C9" i="4"/>
  <c r="B9" i="4"/>
  <c r="A9" i="4"/>
  <c r="D9" i="4"/>
  <c r="F9" i="4"/>
  <c r="I9" i="4"/>
  <c r="H9" i="4"/>
  <c r="G9" i="4"/>
  <c r="E9" i="4"/>
  <c r="C8" i="4"/>
  <c r="B8" i="4"/>
  <c r="A8" i="4"/>
  <c r="D8" i="4"/>
  <c r="F8" i="4"/>
  <c r="I8" i="4"/>
  <c r="H8" i="4"/>
  <c r="G8" i="4"/>
  <c r="E8" i="4"/>
  <c r="C7" i="4"/>
  <c r="B7" i="4"/>
  <c r="A7" i="4"/>
  <c r="D7" i="4"/>
  <c r="F7" i="4"/>
  <c r="I7" i="4"/>
  <c r="H7" i="4"/>
  <c r="G7" i="4"/>
  <c r="E7" i="4"/>
  <c r="C6" i="4"/>
  <c r="B6" i="4"/>
  <c r="A6" i="4"/>
  <c r="D6" i="4"/>
  <c r="F6" i="4"/>
  <c r="I6" i="4"/>
  <c r="H6" i="4"/>
  <c r="G6" i="4"/>
  <c r="E6" i="4"/>
  <c r="E14" i="3"/>
  <c r="B14" i="3"/>
  <c r="E13" i="3"/>
  <c r="B13" i="3"/>
  <c r="E12" i="3"/>
  <c r="B12" i="3"/>
  <c r="E11" i="3"/>
  <c r="B11" i="3"/>
  <c r="E10" i="3"/>
  <c r="B10" i="3"/>
  <c r="E9" i="3"/>
  <c r="B9" i="3"/>
  <c r="E8" i="3"/>
  <c r="B8" i="3"/>
  <c r="E7" i="3"/>
  <c r="B7" i="3"/>
  <c r="E6" i="3"/>
  <c r="B6" i="3"/>
  <c r="AF5" i="2"/>
  <c r="X5" i="2"/>
  <c r="F5" i="2"/>
  <c r="Y5" i="2"/>
  <c r="Z5" i="2"/>
  <c r="Z3" i="2"/>
  <c r="AA5" i="2"/>
  <c r="AB5" i="2"/>
  <c r="AG5" i="2"/>
  <c r="AI5" i="2"/>
  <c r="AD5" i="2"/>
  <c r="AH5" i="2"/>
  <c r="AF6" i="2"/>
  <c r="AC5" i="2"/>
  <c r="X6" i="2"/>
  <c r="F6" i="2"/>
  <c r="Y6" i="2"/>
  <c r="Z6" i="2"/>
  <c r="F7" i="2"/>
  <c r="AA6" i="2"/>
  <c r="AG6" i="2"/>
  <c r="AI6" i="2"/>
  <c r="AB6" i="2"/>
  <c r="AD6" i="2"/>
  <c r="AH6" i="2"/>
  <c r="AF7" i="2"/>
  <c r="AC6" i="2"/>
  <c r="X7" i="2"/>
  <c r="Y7" i="2"/>
  <c r="Z7" i="2"/>
  <c r="F8" i="2"/>
  <c r="AA7" i="2"/>
  <c r="AG7" i="2"/>
  <c r="AI7" i="2"/>
  <c r="AB7" i="2"/>
  <c r="AD7" i="2"/>
  <c r="AH7" i="2"/>
  <c r="AF8" i="2"/>
  <c r="AC7" i="2"/>
  <c r="X8" i="2"/>
  <c r="Y8" i="2"/>
  <c r="Z8" i="2"/>
  <c r="F9" i="2"/>
  <c r="AA8" i="2"/>
  <c r="AG8" i="2"/>
  <c r="AI8" i="2"/>
  <c r="AB8" i="2"/>
  <c r="AD8" i="2"/>
  <c r="AH8" i="2"/>
  <c r="AF9" i="2"/>
  <c r="AC8" i="2"/>
  <c r="X9" i="2"/>
  <c r="Y9" i="2"/>
  <c r="Z9" i="2"/>
  <c r="F10" i="2"/>
  <c r="AA9" i="2"/>
  <c r="AG9" i="2"/>
  <c r="AI9" i="2"/>
  <c r="AB9" i="2"/>
  <c r="AD9" i="2"/>
  <c r="AH9" i="2"/>
  <c r="AF10" i="2"/>
  <c r="AC9" i="2"/>
  <c r="X10" i="2"/>
  <c r="Y10" i="2"/>
  <c r="Z10" i="2"/>
  <c r="F11" i="2"/>
  <c r="AA10" i="2"/>
  <c r="AG10" i="2"/>
  <c r="AI10" i="2"/>
  <c r="AB10" i="2"/>
  <c r="AD10" i="2"/>
  <c r="AH10" i="2"/>
  <c r="AF11" i="2"/>
  <c r="AC10" i="2"/>
  <c r="X11" i="2"/>
  <c r="Y11" i="2"/>
  <c r="Z11" i="2"/>
  <c r="F12" i="2"/>
  <c r="AA11" i="2"/>
  <c r="AG11" i="2"/>
  <c r="AI11" i="2"/>
  <c r="AB11" i="2"/>
  <c r="AD11" i="2"/>
  <c r="AH11" i="2"/>
  <c r="AF12" i="2"/>
  <c r="AC11" i="2"/>
  <c r="X12" i="2"/>
  <c r="Y12" i="2"/>
  <c r="Z12" i="2"/>
  <c r="F13" i="2"/>
  <c r="AA12" i="2"/>
  <c r="AG12" i="2"/>
  <c r="AI12" i="2"/>
  <c r="AB12" i="2"/>
  <c r="AD12" i="2"/>
  <c r="AH12" i="2"/>
  <c r="AF13" i="2"/>
  <c r="AC12" i="2"/>
  <c r="X13" i="2"/>
  <c r="Y13" i="2"/>
  <c r="Z13" i="2"/>
  <c r="F14" i="2"/>
  <c r="AA13" i="2"/>
  <c r="AG13" i="2"/>
  <c r="AI13" i="2"/>
  <c r="AB13" i="2"/>
  <c r="AD13" i="2"/>
  <c r="AH13" i="2"/>
  <c r="AF14" i="2"/>
  <c r="AC13" i="2"/>
  <c r="X14" i="2"/>
  <c r="Y14" i="2"/>
  <c r="Z14" i="2"/>
  <c r="F15" i="2"/>
  <c r="AA14" i="2"/>
  <c r="AG14" i="2"/>
  <c r="AI14" i="2"/>
  <c r="AB14" i="2"/>
  <c r="AD14" i="2"/>
  <c r="AH14" i="2"/>
  <c r="AF15" i="2"/>
  <c r="AC14" i="2"/>
  <c r="X15" i="2"/>
  <c r="Y15" i="2"/>
  <c r="Z15" i="2"/>
  <c r="F16" i="2"/>
  <c r="AA15" i="2"/>
  <c r="AG15" i="2"/>
  <c r="AI15" i="2"/>
  <c r="AB15" i="2"/>
  <c r="AD15" i="2"/>
  <c r="AH15" i="2"/>
  <c r="AF16" i="2"/>
  <c r="AC15" i="2"/>
  <c r="X16" i="2"/>
  <c r="Y16" i="2"/>
  <c r="Z16" i="2"/>
  <c r="F17" i="2"/>
  <c r="AA16" i="2"/>
  <c r="AG16" i="2"/>
  <c r="AI16" i="2"/>
  <c r="AB16" i="2"/>
  <c r="AD16" i="2"/>
  <c r="AH16" i="2"/>
  <c r="AF17" i="2"/>
  <c r="AC16" i="2"/>
  <c r="X17" i="2"/>
  <c r="Y17" i="2"/>
  <c r="Z17" i="2"/>
  <c r="F18" i="2"/>
  <c r="AA17" i="2"/>
  <c r="AG17" i="2"/>
  <c r="AI17" i="2"/>
  <c r="AB17" i="2"/>
  <c r="AD17" i="2"/>
  <c r="AH17" i="2"/>
  <c r="AF18" i="2"/>
  <c r="AC17" i="2"/>
  <c r="X18" i="2"/>
  <c r="Y18" i="2"/>
  <c r="Z18" i="2"/>
  <c r="F19" i="2"/>
  <c r="AA18" i="2"/>
  <c r="AG18" i="2"/>
  <c r="AI18" i="2"/>
  <c r="AB18" i="2"/>
  <c r="AD18" i="2"/>
  <c r="AH18" i="2"/>
  <c r="AF19" i="2"/>
  <c r="AC18" i="2"/>
  <c r="X19" i="2"/>
  <c r="Y19" i="2"/>
  <c r="Z19" i="2"/>
  <c r="F20" i="2"/>
  <c r="AA19" i="2"/>
  <c r="AG19" i="2"/>
  <c r="AI19" i="2"/>
  <c r="AB19" i="2"/>
  <c r="AD19" i="2"/>
  <c r="AH19" i="2"/>
  <c r="AF20" i="2"/>
  <c r="AC19" i="2"/>
  <c r="X20" i="2"/>
  <c r="Y20" i="2"/>
  <c r="Z20" i="2"/>
  <c r="F21" i="2"/>
  <c r="AA20" i="2"/>
  <c r="AG20" i="2"/>
  <c r="AI20" i="2"/>
  <c r="AB20" i="2"/>
  <c r="AD20" i="2"/>
  <c r="AH20" i="2"/>
  <c r="AF21" i="2"/>
  <c r="AC20" i="2"/>
  <c r="X21" i="2"/>
  <c r="Y21" i="2"/>
  <c r="Z21" i="2"/>
  <c r="F22" i="2"/>
  <c r="AA21" i="2"/>
  <c r="AG21" i="2"/>
  <c r="AI21" i="2"/>
  <c r="AB21" i="2"/>
  <c r="AD21" i="2"/>
  <c r="AH21" i="2"/>
  <c r="AF22" i="2"/>
  <c r="AC21" i="2"/>
  <c r="X22" i="2"/>
  <c r="Y22" i="2"/>
  <c r="Z22" i="2"/>
  <c r="F23" i="2"/>
  <c r="AA22" i="2"/>
  <c r="AG22" i="2"/>
  <c r="AI22" i="2"/>
  <c r="AB22" i="2"/>
  <c r="AD22" i="2"/>
  <c r="AH22" i="2"/>
  <c r="AF23" i="2"/>
  <c r="AC22" i="2"/>
  <c r="X23" i="2"/>
  <c r="Y23" i="2"/>
  <c r="Z23" i="2"/>
  <c r="F24" i="2"/>
  <c r="AA23" i="2"/>
  <c r="AG23" i="2"/>
  <c r="AI23" i="2"/>
  <c r="AB23" i="2"/>
  <c r="AD23" i="2"/>
  <c r="AH23" i="2"/>
  <c r="AF24" i="2"/>
  <c r="AC23" i="2"/>
  <c r="X24" i="2"/>
  <c r="Y24" i="2"/>
  <c r="Z24" i="2"/>
  <c r="F25" i="2"/>
  <c r="AA24" i="2"/>
  <c r="AG24" i="2"/>
  <c r="AI24" i="2"/>
  <c r="AB24" i="2"/>
  <c r="AD24" i="2"/>
  <c r="AH24" i="2"/>
  <c r="AF25" i="2"/>
  <c r="AC24" i="2"/>
  <c r="X25" i="2"/>
  <c r="Y25" i="2"/>
  <c r="Z25" i="2"/>
  <c r="F26" i="2"/>
  <c r="AA25" i="2"/>
  <c r="AG25" i="2"/>
  <c r="AI25" i="2"/>
  <c r="AB25" i="2"/>
  <c r="AD25" i="2"/>
  <c r="AH25" i="2"/>
  <c r="AF26" i="2"/>
  <c r="AC25" i="2"/>
  <c r="X26" i="2"/>
  <c r="Y26" i="2"/>
  <c r="Z26" i="2"/>
  <c r="F27" i="2"/>
  <c r="AA26" i="2"/>
  <c r="AG26" i="2"/>
  <c r="AI26" i="2"/>
  <c r="AB26" i="2"/>
  <c r="AD26" i="2"/>
  <c r="AH26" i="2"/>
  <c r="AF27" i="2"/>
  <c r="AC26" i="2"/>
  <c r="X27" i="2"/>
  <c r="Y27" i="2"/>
  <c r="Z27" i="2"/>
  <c r="F28" i="2"/>
  <c r="AA27" i="2"/>
  <c r="AG27" i="2"/>
  <c r="AI27" i="2"/>
  <c r="AB27" i="2"/>
  <c r="AD27" i="2"/>
  <c r="AH27" i="2"/>
  <c r="AF28" i="2"/>
  <c r="AC27" i="2"/>
  <c r="X28" i="2"/>
  <c r="Y28" i="2"/>
  <c r="Z28" i="2"/>
  <c r="F29" i="2"/>
  <c r="AA28" i="2"/>
  <c r="AG28" i="2"/>
  <c r="AI28" i="2"/>
  <c r="AB28" i="2"/>
  <c r="AD28" i="2"/>
  <c r="AH28" i="2"/>
  <c r="AF29" i="2"/>
  <c r="AC28" i="2"/>
  <c r="X29" i="2"/>
  <c r="Y29" i="2"/>
  <c r="Z29" i="2"/>
  <c r="F30" i="2"/>
  <c r="AA29" i="2"/>
  <c r="AG29" i="2"/>
  <c r="AI29" i="2"/>
  <c r="AB29" i="2"/>
  <c r="AD29" i="2"/>
  <c r="AH29" i="2"/>
  <c r="AF30" i="2"/>
  <c r="AC29" i="2"/>
  <c r="X30" i="2"/>
  <c r="Y30" i="2"/>
  <c r="Z30" i="2"/>
  <c r="F31" i="2"/>
  <c r="AA30" i="2"/>
  <c r="AG30" i="2"/>
  <c r="AI30" i="2"/>
  <c r="AB30" i="2"/>
  <c r="AD30" i="2"/>
  <c r="AH30" i="2"/>
  <c r="AF31" i="2"/>
  <c r="AC30" i="2"/>
  <c r="X31" i="2"/>
  <c r="Y31" i="2"/>
  <c r="Z31" i="2"/>
  <c r="F32" i="2"/>
  <c r="AA31" i="2"/>
  <c r="AG31" i="2"/>
  <c r="AI31" i="2"/>
  <c r="AB31" i="2"/>
  <c r="AD31" i="2"/>
  <c r="AH31" i="2"/>
  <c r="AF32" i="2"/>
  <c r="AC31" i="2"/>
  <c r="X32" i="2"/>
  <c r="Y32" i="2"/>
  <c r="Z32" i="2"/>
  <c r="F33" i="2"/>
  <c r="AA32" i="2"/>
  <c r="AG32" i="2"/>
  <c r="AI32" i="2"/>
  <c r="AB32" i="2"/>
  <c r="AD32" i="2"/>
  <c r="AH32" i="2"/>
  <c r="AF33" i="2"/>
  <c r="AC32" i="2"/>
  <c r="X33" i="2"/>
  <c r="Y33" i="2"/>
  <c r="Z33" i="2"/>
  <c r="F34" i="2"/>
  <c r="AA33" i="2"/>
  <c r="AG33" i="2"/>
  <c r="AI33" i="2"/>
  <c r="AB33" i="2"/>
  <c r="AD33" i="2"/>
  <c r="AH33" i="2"/>
  <c r="AF34" i="2"/>
  <c r="AC33" i="2"/>
  <c r="X34" i="2"/>
  <c r="Y34" i="2"/>
  <c r="Z34" i="2"/>
  <c r="F35" i="2"/>
  <c r="AA34" i="2"/>
  <c r="AG34" i="2"/>
  <c r="AI34" i="2"/>
  <c r="AB34" i="2"/>
  <c r="AD34" i="2"/>
  <c r="AH34" i="2"/>
  <c r="AF35" i="2"/>
  <c r="AC34" i="2"/>
  <c r="X35" i="2"/>
  <c r="Y35" i="2"/>
  <c r="Z35" i="2"/>
  <c r="F36" i="2"/>
  <c r="AA35" i="2"/>
  <c r="AG35" i="2"/>
  <c r="AI35" i="2"/>
  <c r="AB35" i="2"/>
  <c r="AD35" i="2"/>
  <c r="AH35" i="2"/>
  <c r="AF36" i="2"/>
  <c r="AC35" i="2"/>
  <c r="X36" i="2"/>
  <c r="Y36" i="2"/>
  <c r="Z36" i="2"/>
  <c r="F37" i="2"/>
  <c r="AA36" i="2"/>
  <c r="AG36" i="2"/>
  <c r="AI36" i="2"/>
  <c r="AB36" i="2"/>
  <c r="AD36" i="2"/>
  <c r="AH36" i="2"/>
  <c r="AF37" i="2"/>
  <c r="AC36" i="2"/>
  <c r="X37" i="2"/>
  <c r="Y37" i="2"/>
  <c r="Z37" i="2"/>
  <c r="F38" i="2"/>
  <c r="AA37" i="2"/>
  <c r="AG37" i="2"/>
  <c r="AI37" i="2"/>
  <c r="AB37" i="2"/>
  <c r="AD37" i="2"/>
  <c r="AH37" i="2"/>
  <c r="AF38" i="2"/>
  <c r="AC37" i="2"/>
  <c r="X38" i="2"/>
  <c r="Y38" i="2"/>
  <c r="Z38" i="2"/>
  <c r="F39" i="2"/>
  <c r="AA38" i="2"/>
  <c r="AG38" i="2"/>
  <c r="AI38" i="2"/>
  <c r="AB38" i="2"/>
  <c r="AD38" i="2"/>
  <c r="AH38" i="2"/>
  <c r="AF39" i="2"/>
  <c r="AC38" i="2"/>
  <c r="X39" i="2"/>
  <c r="Y39" i="2"/>
  <c r="Z39" i="2"/>
  <c r="AA39" i="2"/>
  <c r="AG39" i="2"/>
  <c r="AI39" i="2"/>
  <c r="AB39" i="2"/>
  <c r="AD39" i="2"/>
  <c r="AH39" i="2"/>
  <c r="AF40" i="2"/>
  <c r="AC39" i="2"/>
  <c r="X40" i="2"/>
  <c r="Y40" i="2"/>
  <c r="Z40" i="2"/>
  <c r="AA40" i="2"/>
  <c r="AG40" i="2"/>
  <c r="AI40" i="2"/>
  <c r="AB40" i="2"/>
  <c r="AD40" i="2"/>
  <c r="AH40" i="2"/>
  <c r="AF41" i="2"/>
  <c r="AC40" i="2"/>
  <c r="X41" i="2"/>
  <c r="Y41" i="2"/>
  <c r="Z41" i="2"/>
  <c r="AA41" i="2"/>
  <c r="AG41" i="2"/>
  <c r="AI41" i="2"/>
  <c r="AB41" i="2"/>
  <c r="AD41" i="2"/>
  <c r="AH41" i="2"/>
  <c r="AF42" i="2"/>
  <c r="AC41" i="2"/>
  <c r="X42" i="2"/>
  <c r="Y42" i="2"/>
  <c r="Z42" i="2"/>
  <c r="AA42" i="2"/>
  <c r="AG42" i="2"/>
  <c r="AI42" i="2"/>
  <c r="AB42" i="2"/>
  <c r="AD42" i="2"/>
  <c r="AH42" i="2"/>
  <c r="AC42" i="2"/>
  <c r="AE42" i="2"/>
  <c r="AE41" i="2"/>
  <c r="AE40" i="2"/>
  <c r="AE39" i="2"/>
  <c r="A39" i="2"/>
  <c r="G39" i="2"/>
  <c r="I39" i="2"/>
  <c r="L39" i="2"/>
  <c r="Q39" i="2"/>
  <c r="P39" i="2"/>
  <c r="O39" i="2"/>
  <c r="M39" i="2"/>
  <c r="E39" i="2"/>
  <c r="K39" i="2"/>
  <c r="J39" i="2"/>
  <c r="H39" i="2"/>
  <c r="C39" i="2"/>
  <c r="D39" i="2"/>
  <c r="AE38" i="2"/>
  <c r="A38" i="2"/>
  <c r="G38" i="2"/>
  <c r="I38" i="2"/>
  <c r="L38" i="2"/>
  <c r="Q38" i="2"/>
  <c r="P38" i="2"/>
  <c r="O38" i="2"/>
  <c r="M38" i="2"/>
  <c r="E38" i="2"/>
  <c r="K38" i="2"/>
  <c r="J38" i="2"/>
  <c r="H38" i="2"/>
  <c r="C38" i="2"/>
  <c r="D38" i="2"/>
  <c r="AE37" i="2"/>
  <c r="A37" i="2"/>
  <c r="G37" i="2"/>
  <c r="I37" i="2"/>
  <c r="L37" i="2"/>
  <c r="Q37" i="2"/>
  <c r="P37" i="2"/>
  <c r="O37" i="2"/>
  <c r="M37" i="2"/>
  <c r="E37" i="2"/>
  <c r="K37" i="2"/>
  <c r="J37" i="2"/>
  <c r="H37" i="2"/>
  <c r="C37" i="2"/>
  <c r="D37" i="2"/>
  <c r="AE36" i="2"/>
  <c r="A36" i="2"/>
  <c r="G36" i="2"/>
  <c r="I36" i="2"/>
  <c r="L36" i="2"/>
  <c r="Q36" i="2"/>
  <c r="P36" i="2"/>
  <c r="O36" i="2"/>
  <c r="M36" i="2"/>
  <c r="E36" i="2"/>
  <c r="K36" i="2"/>
  <c r="J36" i="2"/>
  <c r="H36" i="2"/>
  <c r="C36" i="2"/>
  <c r="D36" i="2"/>
  <c r="AE35" i="2"/>
  <c r="A35" i="2"/>
  <c r="G35" i="2"/>
  <c r="I35" i="2"/>
  <c r="L35" i="2"/>
  <c r="Q35" i="2"/>
  <c r="P35" i="2"/>
  <c r="O35" i="2"/>
  <c r="M35" i="2"/>
  <c r="E35" i="2"/>
  <c r="K35" i="2"/>
  <c r="J35" i="2"/>
  <c r="H35" i="2"/>
  <c r="C35" i="2"/>
  <c r="D35" i="2"/>
  <c r="AE34" i="2"/>
  <c r="A34" i="2"/>
  <c r="G34" i="2"/>
  <c r="I34" i="2"/>
  <c r="L34" i="2"/>
  <c r="Q34" i="2"/>
  <c r="P34" i="2"/>
  <c r="O34" i="2"/>
  <c r="M34" i="2"/>
  <c r="E34" i="2"/>
  <c r="K34" i="2"/>
  <c r="J34" i="2"/>
  <c r="H34" i="2"/>
  <c r="C34" i="2"/>
  <c r="D34" i="2"/>
  <c r="AE33" i="2"/>
  <c r="A33" i="2"/>
  <c r="G33" i="2"/>
  <c r="I33" i="2"/>
  <c r="L33" i="2"/>
  <c r="Q33" i="2"/>
  <c r="P33" i="2"/>
  <c r="O33" i="2"/>
  <c r="M33" i="2"/>
  <c r="E33" i="2"/>
  <c r="K33" i="2"/>
  <c r="J33" i="2"/>
  <c r="H33" i="2"/>
  <c r="C33" i="2"/>
  <c r="D33" i="2"/>
  <c r="AE32" i="2"/>
  <c r="A32" i="2"/>
  <c r="G32" i="2"/>
  <c r="I32" i="2"/>
  <c r="L32" i="2"/>
  <c r="Q32" i="2"/>
  <c r="P32" i="2"/>
  <c r="O32" i="2"/>
  <c r="M32" i="2"/>
  <c r="E32" i="2"/>
  <c r="K32" i="2"/>
  <c r="J32" i="2"/>
  <c r="H32" i="2"/>
  <c r="C32" i="2"/>
  <c r="D32" i="2"/>
  <c r="AE31" i="2"/>
  <c r="A31" i="2"/>
  <c r="G31" i="2"/>
  <c r="I31" i="2"/>
  <c r="L31" i="2"/>
  <c r="Q31" i="2"/>
  <c r="P31" i="2"/>
  <c r="O31" i="2"/>
  <c r="M31" i="2"/>
  <c r="E31" i="2"/>
  <c r="K31" i="2"/>
  <c r="J31" i="2"/>
  <c r="H31" i="2"/>
  <c r="C31" i="2"/>
  <c r="D31" i="2"/>
  <c r="AE30" i="2"/>
  <c r="A30" i="2"/>
  <c r="G30" i="2"/>
  <c r="I30" i="2"/>
  <c r="L30" i="2"/>
  <c r="Q30" i="2"/>
  <c r="P30" i="2"/>
  <c r="O30" i="2"/>
  <c r="M30" i="2"/>
  <c r="E30" i="2"/>
  <c r="K30" i="2"/>
  <c r="J30" i="2"/>
  <c r="H30" i="2"/>
  <c r="C30" i="2"/>
  <c r="D30" i="2"/>
  <c r="AE29" i="2"/>
  <c r="A29" i="2"/>
  <c r="G29" i="2"/>
  <c r="I29" i="2"/>
  <c r="L29" i="2"/>
  <c r="Q29" i="2"/>
  <c r="P29" i="2"/>
  <c r="O29" i="2"/>
  <c r="M29" i="2"/>
  <c r="E29" i="2"/>
  <c r="K29" i="2"/>
  <c r="J29" i="2"/>
  <c r="H29" i="2"/>
  <c r="C29" i="2"/>
  <c r="D29" i="2"/>
  <c r="AE28" i="2"/>
  <c r="A28" i="2"/>
  <c r="G28" i="2"/>
  <c r="I28" i="2"/>
  <c r="L28" i="2"/>
  <c r="Q28" i="2"/>
  <c r="P28" i="2"/>
  <c r="O28" i="2"/>
  <c r="M28" i="2"/>
  <c r="E28" i="2"/>
  <c r="K28" i="2"/>
  <c r="J28" i="2"/>
  <c r="H28" i="2"/>
  <c r="C28" i="2"/>
  <c r="D28" i="2"/>
  <c r="AE27" i="2"/>
  <c r="A27" i="2"/>
  <c r="G27" i="2"/>
  <c r="I27" i="2"/>
  <c r="L27" i="2"/>
  <c r="Q27" i="2"/>
  <c r="P27" i="2"/>
  <c r="O27" i="2"/>
  <c r="M27" i="2"/>
  <c r="E27" i="2"/>
  <c r="K27" i="2"/>
  <c r="J27" i="2"/>
  <c r="H27" i="2"/>
  <c r="C27" i="2"/>
  <c r="D27" i="2"/>
  <c r="AE26" i="2"/>
  <c r="A4" i="2"/>
  <c r="G4" i="2"/>
  <c r="I4" i="2"/>
  <c r="L4" i="2"/>
  <c r="U26" i="2"/>
  <c r="V26" i="2"/>
  <c r="T26" i="2"/>
  <c r="E26" i="2"/>
  <c r="S26" i="2"/>
  <c r="A26" i="2"/>
  <c r="G26" i="2"/>
  <c r="I26" i="2"/>
  <c r="L26" i="2"/>
  <c r="Q26" i="2"/>
  <c r="P26" i="2"/>
  <c r="O26" i="2"/>
  <c r="M26" i="2"/>
  <c r="K26" i="2"/>
  <c r="J26" i="2"/>
  <c r="H26" i="2"/>
  <c r="C26" i="2"/>
  <c r="D26" i="2"/>
  <c r="AE25" i="2"/>
  <c r="U25" i="2"/>
  <c r="V25" i="2"/>
  <c r="T25" i="2"/>
  <c r="E25" i="2"/>
  <c r="S25" i="2"/>
  <c r="A25" i="2"/>
  <c r="G25" i="2"/>
  <c r="I25" i="2"/>
  <c r="L25" i="2"/>
  <c r="Q25" i="2"/>
  <c r="P25" i="2"/>
  <c r="O25" i="2"/>
  <c r="M25" i="2"/>
  <c r="K25" i="2"/>
  <c r="J25" i="2"/>
  <c r="H25" i="2"/>
  <c r="C25" i="2"/>
  <c r="D25" i="2"/>
  <c r="AE24" i="2"/>
  <c r="U24" i="2"/>
  <c r="V24" i="2"/>
  <c r="T24" i="2"/>
  <c r="E24" i="2"/>
  <c r="S24" i="2"/>
  <c r="A24" i="2"/>
  <c r="G24" i="2"/>
  <c r="I24" i="2"/>
  <c r="L24" i="2"/>
  <c r="Q24" i="2"/>
  <c r="P24" i="2"/>
  <c r="O24" i="2"/>
  <c r="M24" i="2"/>
  <c r="K24" i="2"/>
  <c r="J24" i="2"/>
  <c r="H24" i="2"/>
  <c r="C24" i="2"/>
  <c r="D24" i="2"/>
  <c r="AE23" i="2"/>
  <c r="U23" i="2"/>
  <c r="V23" i="2"/>
  <c r="T23" i="2"/>
  <c r="E23" i="2"/>
  <c r="S23" i="2"/>
  <c r="A23" i="2"/>
  <c r="G23" i="2"/>
  <c r="I23" i="2"/>
  <c r="L23" i="2"/>
  <c r="Q23" i="2"/>
  <c r="P23" i="2"/>
  <c r="O23" i="2"/>
  <c r="M23" i="2"/>
  <c r="K23" i="2"/>
  <c r="J23" i="2"/>
  <c r="H23" i="2"/>
  <c r="C23" i="2"/>
  <c r="D23" i="2"/>
  <c r="AE22" i="2"/>
  <c r="U22" i="2"/>
  <c r="V22" i="2"/>
  <c r="T22" i="2"/>
  <c r="E22" i="2"/>
  <c r="S22" i="2"/>
  <c r="A22" i="2"/>
  <c r="G22" i="2"/>
  <c r="I22" i="2"/>
  <c r="L22" i="2"/>
  <c r="Q22" i="2"/>
  <c r="P22" i="2"/>
  <c r="O22" i="2"/>
  <c r="M22" i="2"/>
  <c r="K22" i="2"/>
  <c r="J22" i="2"/>
  <c r="H22" i="2"/>
  <c r="C22" i="2"/>
  <c r="D22" i="2"/>
  <c r="AE21" i="2"/>
  <c r="U21" i="2"/>
  <c r="V21" i="2"/>
  <c r="T21" i="2"/>
  <c r="E21" i="2"/>
  <c r="S21" i="2"/>
  <c r="A21" i="2"/>
  <c r="G21" i="2"/>
  <c r="I21" i="2"/>
  <c r="L21" i="2"/>
  <c r="Q21" i="2"/>
  <c r="P21" i="2"/>
  <c r="O21" i="2"/>
  <c r="M21" i="2"/>
  <c r="K21" i="2"/>
  <c r="J21" i="2"/>
  <c r="H21" i="2"/>
  <c r="C21" i="2"/>
  <c r="D21" i="2"/>
  <c r="AE20" i="2"/>
  <c r="U20" i="2"/>
  <c r="V20" i="2"/>
  <c r="T20" i="2"/>
  <c r="E20" i="2"/>
  <c r="S20" i="2"/>
  <c r="A20" i="2"/>
  <c r="G20" i="2"/>
  <c r="I20" i="2"/>
  <c r="L20" i="2"/>
  <c r="Q20" i="2"/>
  <c r="P20" i="2"/>
  <c r="O20" i="2"/>
  <c r="M20" i="2"/>
  <c r="K20" i="2"/>
  <c r="J20" i="2"/>
  <c r="H20" i="2"/>
  <c r="C20" i="2"/>
  <c r="D20" i="2"/>
  <c r="AE19" i="2"/>
  <c r="U19" i="2"/>
  <c r="V19" i="2"/>
  <c r="T19" i="2"/>
  <c r="E19" i="2"/>
  <c r="S19" i="2"/>
  <c r="A19" i="2"/>
  <c r="G19" i="2"/>
  <c r="I19" i="2"/>
  <c r="L19" i="2"/>
  <c r="Q19" i="2"/>
  <c r="P19" i="2"/>
  <c r="O19" i="2"/>
  <c r="M19" i="2"/>
  <c r="K19" i="2"/>
  <c r="J19" i="2"/>
  <c r="H19" i="2"/>
  <c r="C19" i="2"/>
  <c r="D19" i="2"/>
  <c r="AE18" i="2"/>
  <c r="U18" i="2"/>
  <c r="V18" i="2"/>
  <c r="T18" i="2"/>
  <c r="E18" i="2"/>
  <c r="S18" i="2"/>
  <c r="A18" i="2"/>
  <c r="G18" i="2"/>
  <c r="I18" i="2"/>
  <c r="L18" i="2"/>
  <c r="Q18" i="2"/>
  <c r="P18" i="2"/>
  <c r="O18" i="2"/>
  <c r="M18" i="2"/>
  <c r="K18" i="2"/>
  <c r="J18" i="2"/>
  <c r="H18" i="2"/>
  <c r="C18" i="2"/>
  <c r="D18" i="2"/>
  <c r="AE17" i="2"/>
  <c r="U17" i="2"/>
  <c r="V17" i="2"/>
  <c r="T17" i="2"/>
  <c r="E17" i="2"/>
  <c r="S17" i="2"/>
  <c r="A17" i="2"/>
  <c r="G17" i="2"/>
  <c r="I17" i="2"/>
  <c r="L17" i="2"/>
  <c r="Q17" i="2"/>
  <c r="P17" i="2"/>
  <c r="O17" i="2"/>
  <c r="M17" i="2"/>
  <c r="K17" i="2"/>
  <c r="J17" i="2"/>
  <c r="H17" i="2"/>
  <c r="C17" i="2"/>
  <c r="D17" i="2"/>
  <c r="AE16" i="2"/>
  <c r="U16" i="2"/>
  <c r="V16" i="2"/>
  <c r="T16" i="2"/>
  <c r="E16" i="2"/>
  <c r="S16" i="2"/>
  <c r="A16" i="2"/>
  <c r="G16" i="2"/>
  <c r="I16" i="2"/>
  <c r="L16" i="2"/>
  <c r="Q16" i="2"/>
  <c r="P16" i="2"/>
  <c r="O16" i="2"/>
  <c r="M16" i="2"/>
  <c r="K16" i="2"/>
  <c r="J16" i="2"/>
  <c r="H16" i="2"/>
  <c r="C16" i="2"/>
  <c r="D16" i="2"/>
  <c r="AE15" i="2"/>
  <c r="U15" i="2"/>
  <c r="V15" i="2"/>
  <c r="T15" i="2"/>
  <c r="E15" i="2"/>
  <c r="S15" i="2"/>
  <c r="A15" i="2"/>
  <c r="G15" i="2"/>
  <c r="I15" i="2"/>
  <c r="L15" i="2"/>
  <c r="Q15" i="2"/>
  <c r="P15" i="2"/>
  <c r="O15" i="2"/>
  <c r="M15" i="2"/>
  <c r="K15" i="2"/>
  <c r="J15" i="2"/>
  <c r="H15" i="2"/>
  <c r="C15" i="2"/>
  <c r="D15" i="2"/>
  <c r="AE14" i="2"/>
  <c r="U14" i="2"/>
  <c r="V14" i="2"/>
  <c r="T14" i="2"/>
  <c r="E14" i="2"/>
  <c r="S14" i="2"/>
  <c r="A14" i="2"/>
  <c r="G14" i="2"/>
  <c r="I14" i="2"/>
  <c r="L14" i="2"/>
  <c r="Q14" i="2"/>
  <c r="P14" i="2"/>
  <c r="O14" i="2"/>
  <c r="M14" i="2"/>
  <c r="K14" i="2"/>
  <c r="J14" i="2"/>
  <c r="H14" i="2"/>
  <c r="C14" i="2"/>
  <c r="D14" i="2"/>
  <c r="AE13" i="2"/>
  <c r="U13" i="2"/>
  <c r="V13" i="2"/>
  <c r="T13" i="2"/>
  <c r="E13" i="2"/>
  <c r="S13" i="2"/>
  <c r="A13" i="2"/>
  <c r="G13" i="2"/>
  <c r="I13" i="2"/>
  <c r="L13" i="2"/>
  <c r="Q13" i="2"/>
  <c r="P13" i="2"/>
  <c r="O13" i="2"/>
  <c r="M13" i="2"/>
  <c r="K13" i="2"/>
  <c r="J13" i="2"/>
  <c r="H13" i="2"/>
  <c r="C13" i="2"/>
  <c r="D13" i="2"/>
  <c r="AE12" i="2"/>
  <c r="U12" i="2"/>
  <c r="V12" i="2"/>
  <c r="T12" i="2"/>
  <c r="E12" i="2"/>
  <c r="S12" i="2"/>
  <c r="A12" i="2"/>
  <c r="G12" i="2"/>
  <c r="I12" i="2"/>
  <c r="L12" i="2"/>
  <c r="Q12" i="2"/>
  <c r="P12" i="2"/>
  <c r="O12" i="2"/>
  <c r="M12" i="2"/>
  <c r="K12" i="2"/>
  <c r="J12" i="2"/>
  <c r="H12" i="2"/>
  <c r="C12" i="2"/>
  <c r="D12" i="2"/>
  <c r="AE11" i="2"/>
  <c r="U11" i="2"/>
  <c r="V11" i="2"/>
  <c r="T11" i="2"/>
  <c r="E11" i="2"/>
  <c r="S11" i="2"/>
  <c r="A11" i="2"/>
  <c r="G11" i="2"/>
  <c r="I11" i="2"/>
  <c r="L11" i="2"/>
  <c r="Q11" i="2"/>
  <c r="P11" i="2"/>
  <c r="O11" i="2"/>
  <c r="M11" i="2"/>
  <c r="K11" i="2"/>
  <c r="J11" i="2"/>
  <c r="H11" i="2"/>
  <c r="C11" i="2"/>
  <c r="D11" i="2"/>
  <c r="AE10" i="2"/>
  <c r="U10" i="2"/>
  <c r="V10" i="2"/>
  <c r="T10" i="2"/>
  <c r="E10" i="2"/>
  <c r="S10" i="2"/>
  <c r="A10" i="2"/>
  <c r="G10" i="2"/>
  <c r="I10" i="2"/>
  <c r="L10" i="2"/>
  <c r="Q10" i="2"/>
  <c r="P10" i="2"/>
  <c r="O10" i="2"/>
  <c r="M10" i="2"/>
  <c r="K10" i="2"/>
  <c r="J10" i="2"/>
  <c r="H10" i="2"/>
  <c r="C10" i="2"/>
  <c r="D10" i="2"/>
  <c r="AE9" i="2"/>
  <c r="U9" i="2"/>
  <c r="V9" i="2"/>
  <c r="T9" i="2"/>
  <c r="E9" i="2"/>
  <c r="S9" i="2"/>
  <c r="A9" i="2"/>
  <c r="G9" i="2"/>
  <c r="I9" i="2"/>
  <c r="L9" i="2"/>
  <c r="Q9" i="2"/>
  <c r="P9" i="2"/>
  <c r="O9" i="2"/>
  <c r="M9" i="2"/>
  <c r="K9" i="2"/>
  <c r="J9" i="2"/>
  <c r="H9" i="2"/>
  <c r="C9" i="2"/>
  <c r="D9" i="2"/>
  <c r="AE8" i="2"/>
  <c r="U8" i="2"/>
  <c r="V8" i="2"/>
  <c r="T8" i="2"/>
  <c r="E8" i="2"/>
  <c r="S8" i="2"/>
  <c r="A8" i="2"/>
  <c r="G8" i="2"/>
  <c r="I8" i="2"/>
  <c r="L8" i="2"/>
  <c r="Q8" i="2"/>
  <c r="P8" i="2"/>
  <c r="O8" i="2"/>
  <c r="M8" i="2"/>
  <c r="K8" i="2"/>
  <c r="J8" i="2"/>
  <c r="H8" i="2"/>
  <c r="C8" i="2"/>
  <c r="D8" i="2"/>
  <c r="AE7" i="2"/>
  <c r="U7" i="2"/>
  <c r="V7" i="2"/>
  <c r="T7" i="2"/>
  <c r="E7" i="2"/>
  <c r="S7" i="2"/>
  <c r="A7" i="2"/>
  <c r="G7" i="2"/>
  <c r="I7" i="2"/>
  <c r="L7" i="2"/>
  <c r="Q7" i="2"/>
  <c r="P7" i="2"/>
  <c r="O7" i="2"/>
  <c r="M7" i="2"/>
  <c r="K7" i="2"/>
  <c r="J7" i="2"/>
  <c r="H7" i="2"/>
  <c r="C7" i="2"/>
  <c r="D7" i="2"/>
  <c r="AE6" i="2"/>
  <c r="U6" i="2"/>
  <c r="V6" i="2"/>
  <c r="T6" i="2"/>
  <c r="E6" i="2"/>
  <c r="S6" i="2"/>
  <c r="A6" i="2"/>
  <c r="G6" i="2"/>
  <c r="I6" i="2"/>
  <c r="L6" i="2"/>
  <c r="Q6" i="2"/>
  <c r="P6" i="2"/>
  <c r="O6" i="2"/>
  <c r="M6" i="2"/>
  <c r="K6" i="2"/>
  <c r="J6" i="2"/>
  <c r="H6" i="2"/>
  <c r="C6" i="2"/>
  <c r="D6" i="2"/>
  <c r="AE5" i="2"/>
  <c r="U5" i="2"/>
  <c r="V5" i="2"/>
  <c r="T5" i="2"/>
  <c r="E5" i="2"/>
  <c r="S5" i="2"/>
  <c r="A5" i="2"/>
  <c r="G5" i="2"/>
  <c r="I5" i="2"/>
  <c r="L5" i="2"/>
  <c r="Q5" i="2"/>
  <c r="P5" i="2"/>
  <c r="O5" i="2"/>
  <c r="M5" i="2"/>
  <c r="K5" i="2"/>
  <c r="J5" i="2"/>
  <c r="H5" i="2"/>
  <c r="C5" i="2"/>
  <c r="D5" i="2"/>
  <c r="U4" i="2"/>
  <c r="V4" i="2"/>
  <c r="T4" i="2"/>
  <c r="E4" i="2"/>
  <c r="S4" i="2"/>
  <c r="Q4" i="2"/>
  <c r="P4" i="2"/>
  <c r="O4" i="2"/>
  <c r="M4" i="2"/>
  <c r="K4" i="2"/>
  <c r="J4" i="2"/>
  <c r="H4" i="2"/>
  <c r="C4" i="2"/>
  <c r="D4" i="2"/>
  <c r="U1" i="2"/>
  <c r="G12" i="1"/>
  <c r="G13" i="1"/>
  <c r="G14" i="1"/>
  <c r="G15" i="1"/>
  <c r="G16" i="1"/>
  <c r="G17" i="1"/>
  <c r="G18" i="1"/>
  <c r="H18" i="1"/>
  <c r="I18" i="1"/>
  <c r="F18" i="1"/>
  <c r="D18" i="1"/>
  <c r="B12" i="1"/>
  <c r="B13" i="1"/>
  <c r="B14" i="1"/>
  <c r="B15" i="1"/>
  <c r="B16" i="1"/>
  <c r="B17" i="1"/>
  <c r="B18" i="1"/>
  <c r="A18" i="1"/>
  <c r="C18" i="1"/>
  <c r="H17" i="1"/>
  <c r="I17" i="1"/>
  <c r="F17" i="1"/>
  <c r="D17" i="1"/>
  <c r="A17" i="1"/>
  <c r="C17" i="1"/>
  <c r="H16" i="1"/>
  <c r="I16" i="1"/>
  <c r="F16" i="1"/>
  <c r="D16" i="1"/>
  <c r="A16" i="1"/>
  <c r="C16" i="1"/>
  <c r="H15" i="1"/>
  <c r="I15" i="1"/>
  <c r="F15" i="1"/>
  <c r="D15" i="1"/>
  <c r="A15" i="1"/>
  <c r="C15" i="1"/>
  <c r="H14" i="1"/>
  <c r="I14" i="1"/>
  <c r="F14" i="1"/>
  <c r="D14" i="1"/>
  <c r="A14" i="1"/>
  <c r="C14" i="1"/>
  <c r="O7" i="1"/>
  <c r="O8" i="1"/>
  <c r="O9" i="1"/>
  <c r="O10" i="1"/>
  <c r="O11" i="1"/>
  <c r="O12" i="1"/>
  <c r="O13" i="1"/>
  <c r="P13" i="1"/>
  <c r="H13" i="1"/>
  <c r="I13" i="1"/>
  <c r="F13" i="1"/>
  <c r="D13" i="1"/>
  <c r="A13" i="1"/>
  <c r="C13" i="1"/>
  <c r="H12" i="1"/>
  <c r="I12" i="1"/>
  <c r="D5" i="1"/>
  <c r="D12" i="1"/>
  <c r="A12" i="1"/>
  <c r="C12" i="1"/>
  <c r="G11" i="1"/>
  <c r="H11" i="1"/>
  <c r="I11" i="1"/>
  <c r="F11" i="1"/>
  <c r="D11" i="1"/>
  <c r="B11" i="1"/>
  <c r="A11" i="1"/>
  <c r="C11" i="1"/>
  <c r="G10" i="1"/>
  <c r="H10" i="1"/>
  <c r="I10" i="1"/>
  <c r="F10" i="1"/>
  <c r="D10" i="1"/>
  <c r="B10" i="1"/>
  <c r="A10" i="1"/>
  <c r="C10" i="1"/>
  <c r="G9" i="1"/>
  <c r="H9" i="1"/>
  <c r="I9" i="1"/>
  <c r="F9" i="1"/>
  <c r="D9" i="1"/>
  <c r="B9" i="1"/>
  <c r="A9" i="1"/>
  <c r="C9" i="1"/>
  <c r="G8" i="1"/>
  <c r="H8" i="1"/>
  <c r="I8" i="1"/>
  <c r="F8" i="1"/>
  <c r="D8" i="1"/>
  <c r="B8" i="1"/>
  <c r="A8" i="1"/>
  <c r="C8" i="1"/>
  <c r="G7" i="1"/>
  <c r="H7" i="1"/>
  <c r="I7" i="1"/>
  <c r="F7" i="1"/>
  <c r="D7" i="1"/>
  <c r="B7" i="1"/>
  <c r="A7" i="1"/>
  <c r="C7" i="1"/>
  <c r="M6" i="1"/>
  <c r="L6" i="1"/>
  <c r="G6" i="1"/>
  <c r="H6" i="1"/>
  <c r="I6" i="1"/>
  <c r="F6" i="1"/>
  <c r="D6" i="1"/>
  <c r="B6" i="1"/>
  <c r="A6" i="1"/>
  <c r="C6" i="1"/>
</calcChain>
</file>

<file path=xl/sharedStrings.xml><?xml version="1.0" encoding="utf-8"?>
<sst xmlns="http://schemas.openxmlformats.org/spreadsheetml/2006/main" count="140" uniqueCount="128">
  <si>
    <r>
      <rPr>
        <sz val="10"/>
        <color rgb="FF0F243E"/>
        <rFont val="Calibri"/>
      </rPr>
      <t xml:space="preserve">номинальная мощность ТЭНа в </t>
    </r>
    <r>
      <rPr>
        <b/>
        <sz val="10"/>
        <color rgb="FF003366"/>
        <rFont val="Calibri"/>
      </rPr>
      <t>кВт</t>
    </r>
  </si>
  <si>
    <r>
      <rPr>
        <sz val="10"/>
        <color rgb="FF000000"/>
        <rFont val="Calibri"/>
      </rPr>
      <t xml:space="preserve"> номинальное напряжение ТЭНа </t>
    </r>
    <r>
      <rPr>
        <b/>
        <sz val="10"/>
        <color rgb="FF000000"/>
        <rFont val="Calibri"/>
      </rPr>
      <t>V</t>
    </r>
  </si>
  <si>
    <r>
      <rPr>
        <sz val="11"/>
        <color theme="1"/>
        <rFont val="Calibri"/>
      </rPr>
      <t xml:space="preserve">шаг в </t>
    </r>
    <r>
      <rPr>
        <b/>
        <sz val="14"/>
        <color rgb="FF000000"/>
        <rFont val="Calibri"/>
      </rPr>
      <t>вольт</t>
    </r>
    <r>
      <rPr>
        <sz val="11"/>
        <color theme="1"/>
        <rFont val="Calibri"/>
      </rPr>
      <t>ах</t>
    </r>
  </si>
  <si>
    <r>
      <rPr>
        <sz val="11"/>
        <color theme="1"/>
        <rFont val="Calibri"/>
      </rPr>
      <t xml:space="preserve">Напряжение сети </t>
    </r>
    <r>
      <rPr>
        <b/>
        <sz val="16"/>
        <color rgb="FF000000"/>
        <rFont val="Calibri"/>
      </rPr>
      <t>Вольт</t>
    </r>
  </si>
  <si>
    <r>
      <rPr>
        <sz val="11"/>
        <color rgb="FF17365D"/>
        <rFont val="Calibri"/>
      </rPr>
      <t xml:space="preserve">Реальное Сопротивление ТЭНа в   </t>
    </r>
    <r>
      <rPr>
        <b/>
        <sz val="16"/>
        <color rgb="FF000080"/>
        <rFont val="Calibri"/>
      </rPr>
      <t>Ом</t>
    </r>
    <r>
      <rPr>
        <sz val="10"/>
        <color rgb="FF000080"/>
        <rFont val="Calibri"/>
      </rPr>
      <t>ах</t>
    </r>
  </si>
  <si>
    <t>Ввести вычисленную мощность для работы с другими листами!</t>
  </si>
  <si>
    <t>Там, где красные числа можно подставлять свои значения.</t>
  </si>
  <si>
    <t>Таблица №1</t>
  </si>
  <si>
    <t>Таблица №2</t>
  </si>
  <si>
    <t>Суммар.Сопротив. ТЭНов</t>
  </si>
  <si>
    <r>
      <rPr>
        <sz val="11"/>
        <color rgb="FF0F243E"/>
        <rFont val="Calibri"/>
      </rPr>
      <t xml:space="preserve">напряжение в сети </t>
    </r>
    <r>
      <rPr>
        <b/>
        <sz val="14"/>
        <color rgb="FF003366"/>
        <rFont val="Calibri"/>
      </rPr>
      <t>v</t>
    </r>
  </si>
  <si>
    <r>
      <rPr>
        <sz val="11"/>
        <color theme="1"/>
        <rFont val="Calibri"/>
      </rPr>
      <t xml:space="preserve">реальная мощность в </t>
    </r>
    <r>
      <rPr>
        <b/>
        <sz val="14"/>
        <color rgb="FF000000"/>
        <rFont val="Calibri"/>
      </rPr>
      <t>кВт</t>
    </r>
  </si>
  <si>
    <t>напряжение сети</t>
  </si>
  <si>
    <r>
      <rPr>
        <b/>
        <sz val="11"/>
        <color theme="1"/>
        <rFont val="Calibri"/>
      </rPr>
      <t>сопротивление в ОМ</t>
    </r>
    <r>
      <rPr>
        <b/>
        <sz val="10"/>
        <color rgb="FF000000"/>
        <rFont val="Calibri"/>
      </rPr>
      <t>ах</t>
    </r>
  </si>
  <si>
    <r>
      <rPr>
        <sz val="11"/>
        <color rgb="FF000000"/>
        <rFont val="Calibri"/>
      </rPr>
      <t>Мощность в</t>
    </r>
    <r>
      <rPr>
        <b/>
        <sz val="11"/>
        <color rgb="FF000000"/>
        <rFont val="Calibri"/>
      </rPr>
      <t xml:space="preserve"> </t>
    </r>
    <r>
      <rPr>
        <b/>
        <sz val="14"/>
        <color rgb="FF000000"/>
        <rFont val="Calibri"/>
      </rPr>
      <t>кВт</t>
    </r>
  </si>
  <si>
    <t>ом</t>
  </si>
  <si>
    <r>
      <rPr>
        <sz val="11"/>
        <color rgb="FF333333"/>
        <rFont val="Calibri"/>
      </rPr>
      <t>подключение</t>
    </r>
    <r>
      <rPr>
        <sz val="11"/>
        <color theme="1"/>
        <rFont val="Calibri"/>
      </rPr>
      <t xml:space="preserve"> параллельное</t>
    </r>
  </si>
  <si>
    <r>
      <rPr>
        <sz val="11"/>
        <color rgb="FF333333"/>
        <rFont val="Calibri"/>
      </rPr>
      <t>подключение</t>
    </r>
    <r>
      <rPr>
        <sz val="11"/>
        <color theme="1"/>
        <rFont val="Calibri"/>
      </rPr>
      <t xml:space="preserve"> </t>
    </r>
    <r>
      <rPr>
        <sz val="11"/>
        <color theme="1"/>
        <rFont val="Calibri"/>
      </rPr>
      <t>последовательное</t>
    </r>
  </si>
  <si>
    <t>Для точности введение результата из таблицы №2 предпочтительнее</t>
  </si>
  <si>
    <t>0бъём спира  Литр.</t>
  </si>
  <si>
    <t xml:space="preserve">Для мощности  </t>
  </si>
  <si>
    <t>кВт</t>
  </si>
  <si>
    <r>
      <rPr>
        <b/>
        <sz val="11"/>
        <color rgb="FFFF0000"/>
        <rFont val="Calibri"/>
      </rPr>
      <t xml:space="preserve"> Спирта в баке Объёмн </t>
    </r>
    <r>
      <rPr>
        <b/>
        <sz val="12"/>
        <color rgb="FFFF0000"/>
        <rFont val="Calibri"/>
      </rPr>
      <t>%</t>
    </r>
  </si>
  <si>
    <t>Спирта в баке Масс.Доля</t>
  </si>
  <si>
    <t>Спирта в баке Моль.доля</t>
  </si>
  <si>
    <r>
      <rPr>
        <b/>
        <sz val="14"/>
        <color theme="1"/>
        <rFont val="Calibri"/>
      </rPr>
      <t xml:space="preserve"> t℃   </t>
    </r>
    <r>
      <rPr>
        <b/>
        <sz val="11"/>
        <color theme="1"/>
        <rFont val="Calibri"/>
      </rPr>
      <t xml:space="preserve"> кипения</t>
    </r>
  </si>
  <si>
    <r>
      <rPr>
        <b/>
        <sz val="11"/>
        <color rgb="FF494429"/>
        <rFont val="Calibri"/>
      </rPr>
      <t xml:space="preserve"> Спирта в паре Объёмн</t>
    </r>
    <r>
      <rPr>
        <b/>
        <sz val="14"/>
        <color rgb="FF808000"/>
        <rFont val="Calibri"/>
      </rPr>
      <t xml:space="preserve"> %</t>
    </r>
  </si>
  <si>
    <t xml:space="preserve"> Спирта в паре Масс.Доля</t>
  </si>
  <si>
    <t xml:space="preserve"> Спирта в паре Моль.доля</t>
  </si>
  <si>
    <t xml:space="preserve">масса пара в час </t>
  </si>
  <si>
    <t>объём пара в час</t>
  </si>
  <si>
    <t>Объём жидкости</t>
  </si>
  <si>
    <t>узнать ФЧ</t>
  </si>
  <si>
    <r>
      <rPr>
        <b/>
        <sz val="11"/>
        <color theme="1"/>
        <rFont val="Calibri"/>
      </rPr>
      <t xml:space="preserve"> Спирта в баке Объёмн </t>
    </r>
    <r>
      <rPr>
        <b/>
        <sz val="12"/>
        <color theme="1"/>
        <rFont val="Calibri"/>
      </rPr>
      <t>%</t>
    </r>
  </si>
  <si>
    <t>ФЧ</t>
  </si>
  <si>
    <t>отбор Л/ч</t>
  </si>
  <si>
    <t>Крект</t>
  </si>
  <si>
    <t xml:space="preserve">сумма спирт </t>
  </si>
  <si>
    <t>сумма СС</t>
  </si>
  <si>
    <t>остаок сп</t>
  </si>
  <si>
    <t>остаток сс</t>
  </si>
  <si>
    <t>ККр</t>
  </si>
  <si>
    <t>И в паре</t>
  </si>
  <si>
    <t>И в баке%</t>
  </si>
  <si>
    <t>грамм</t>
  </si>
  <si>
    <t xml:space="preserve"> кг/ч</t>
  </si>
  <si>
    <t>г /с</t>
  </si>
  <si>
    <t>литр /ч</t>
  </si>
  <si>
    <t>л/ч</t>
  </si>
  <si>
    <t>мл/с</t>
  </si>
  <si>
    <t>время  отбора</t>
  </si>
  <si>
    <t>СЕК.</t>
  </si>
  <si>
    <r>
      <rPr>
        <sz val="11"/>
        <color rgb="FFFF0000"/>
        <rFont val="Calibri"/>
      </rPr>
      <t xml:space="preserve">нужный отбор         </t>
    </r>
    <r>
      <rPr>
        <b/>
        <sz val="11"/>
        <color rgb="FFFF0000"/>
        <rFont val="Calibri"/>
      </rPr>
      <t>литр ч</t>
    </r>
  </si>
  <si>
    <r>
      <rPr>
        <sz val="11"/>
        <color theme="1"/>
        <rFont val="Calibri"/>
      </rPr>
      <t xml:space="preserve">столько в отборе   </t>
    </r>
    <r>
      <rPr>
        <b/>
        <sz val="11"/>
        <color rgb="FF000000"/>
        <rFont val="Calibri"/>
      </rPr>
      <t>мл</t>
    </r>
  </si>
  <si>
    <r>
      <rPr>
        <sz val="11"/>
        <color rgb="FFFF0000"/>
        <rFont val="Calibri"/>
      </rPr>
      <t>Сколько в отборе</t>
    </r>
    <r>
      <rPr>
        <b/>
        <sz val="11"/>
        <color rgb="FFFF0000"/>
        <rFont val="Calibri"/>
      </rPr>
      <t xml:space="preserve"> мл</t>
    </r>
  </si>
  <si>
    <r>
      <rPr>
        <sz val="11"/>
        <color theme="1"/>
        <rFont val="Calibri"/>
      </rPr>
      <t xml:space="preserve">столько в отборе </t>
    </r>
    <r>
      <rPr>
        <b/>
        <sz val="11"/>
        <color rgb="FF000000"/>
        <rFont val="Calibri"/>
      </rPr>
      <t>литр ч</t>
    </r>
  </si>
  <si>
    <t>Для удобства применяю метроном</t>
  </si>
  <si>
    <t>http://www.metronomid.ru/</t>
  </si>
  <si>
    <t>или</t>
  </si>
  <si>
    <t>http://virartech.ru/flash-apps/metronome/index.php</t>
  </si>
  <si>
    <r>
      <rPr>
        <sz val="12"/>
        <color rgb="FFFF0000"/>
        <rFont val="Calibri"/>
      </rPr>
      <t xml:space="preserve">объём     </t>
    </r>
    <r>
      <rPr>
        <b/>
        <sz val="14"/>
        <color rgb="FFFF0000"/>
        <rFont val="Calibri"/>
      </rPr>
      <t>литр</t>
    </r>
  </si>
  <si>
    <r>
      <rPr>
        <sz val="12"/>
        <color rgb="FFFF0000"/>
        <rFont val="Calibri"/>
      </rPr>
      <t xml:space="preserve">исходная темп.       </t>
    </r>
    <r>
      <rPr>
        <sz val="14"/>
        <color rgb="FFFF0000"/>
        <rFont val="Calibri"/>
      </rPr>
      <t xml:space="preserve"> </t>
    </r>
    <r>
      <rPr>
        <b/>
        <sz val="14"/>
        <color rgb="FFFF0000"/>
        <rFont val="Calibri"/>
      </rPr>
      <t>t℃</t>
    </r>
  </si>
  <si>
    <t>Шаг литры</t>
  </si>
  <si>
    <r>
      <rPr>
        <b/>
        <sz val="11"/>
        <color rgb="FFFF0000"/>
        <rFont val="Calibri"/>
      </rPr>
      <t xml:space="preserve">шаг темп.   </t>
    </r>
    <r>
      <rPr>
        <b/>
        <sz val="14"/>
        <color rgb="FFFF0000"/>
        <rFont val="Calibri"/>
      </rPr>
      <t>t℃</t>
    </r>
  </si>
  <si>
    <t>нагрев воды на 1 С</t>
  </si>
  <si>
    <t>испарит 1 литр</t>
  </si>
  <si>
    <t xml:space="preserve"> Ватт·ч</t>
  </si>
  <si>
    <r>
      <rPr>
        <sz val="12"/>
        <color theme="1"/>
        <rFont val="Calibri"/>
      </rPr>
      <t xml:space="preserve">объём     </t>
    </r>
    <r>
      <rPr>
        <b/>
        <sz val="14"/>
        <color theme="1"/>
        <rFont val="Calibri"/>
      </rPr>
      <t>литр</t>
    </r>
  </si>
  <si>
    <r>
      <rPr>
        <sz val="12"/>
        <color theme="1"/>
        <rFont val="Calibri"/>
      </rPr>
      <t xml:space="preserve">исходная темп.       </t>
    </r>
    <r>
      <rPr>
        <sz val="14"/>
        <color theme="1"/>
        <rFont val="Calibri"/>
      </rPr>
      <t xml:space="preserve"> </t>
    </r>
    <r>
      <rPr>
        <b/>
        <sz val="14"/>
        <color theme="1"/>
        <rFont val="Calibri"/>
      </rPr>
      <t>t℃</t>
    </r>
  </si>
  <si>
    <r>
      <rPr>
        <b/>
        <sz val="12"/>
        <color theme="1"/>
        <rFont val="Calibri"/>
      </rPr>
      <t xml:space="preserve">мощность ТЭНа       </t>
    </r>
    <r>
      <rPr>
        <b/>
        <sz val="14"/>
        <color theme="1"/>
        <rFont val="Calibri"/>
      </rPr>
      <t xml:space="preserve"> кВт</t>
    </r>
  </si>
  <si>
    <r>
      <rPr>
        <sz val="11"/>
        <color rgb="FFFFFF00"/>
        <rFont val="Calibri"/>
      </rPr>
      <t>нагрев до кипения</t>
    </r>
    <r>
      <rPr>
        <b/>
        <sz val="11"/>
        <color rgb="FFFFFF00"/>
        <rFont val="Calibri"/>
      </rPr>
      <t xml:space="preserve"> Ватт·ч</t>
    </r>
  </si>
  <si>
    <r>
      <rPr>
        <sz val="10"/>
        <color rgb="FFFFFF00"/>
        <rFont val="Arimo"/>
      </rPr>
      <t xml:space="preserve">время до закипания </t>
    </r>
    <r>
      <rPr>
        <b/>
        <sz val="10"/>
        <color rgb="FFFFFF00"/>
        <rFont val="Arial Cyr"/>
      </rPr>
      <t>мин</t>
    </r>
  </si>
  <si>
    <r>
      <rPr>
        <sz val="11"/>
        <color rgb="FF660066"/>
        <rFont val="Calibri"/>
      </rPr>
      <t xml:space="preserve"> на испарение  </t>
    </r>
    <r>
      <rPr>
        <b/>
        <sz val="11"/>
        <color rgb="FF660066"/>
        <rFont val="Calibri"/>
      </rPr>
      <t>Ватт·ч</t>
    </r>
  </si>
  <si>
    <r>
      <rPr>
        <sz val="11"/>
        <color rgb="FF660066"/>
        <rFont val="Calibri"/>
      </rPr>
      <t xml:space="preserve">время выкипания  </t>
    </r>
    <r>
      <rPr>
        <b/>
        <sz val="11"/>
        <color rgb="FF660066"/>
        <rFont val="Calibri"/>
      </rPr>
      <t>мин</t>
    </r>
  </si>
  <si>
    <r>
      <rPr>
        <sz val="11"/>
        <color rgb="FF660066"/>
        <rFont val="Calibri"/>
      </rPr>
      <t xml:space="preserve">Объём пара за час          </t>
    </r>
    <r>
      <rPr>
        <b/>
        <sz val="12"/>
        <color rgb="FF660066"/>
        <rFont val="Calibri"/>
      </rPr>
      <t>литр</t>
    </r>
  </si>
  <si>
    <t>итого: кВт·ч</t>
  </si>
  <si>
    <t>Смешивание воды с разными температурами</t>
  </si>
  <si>
    <r>
      <rPr>
        <sz val="11"/>
        <color rgb="FFFF0000"/>
        <rFont val="Calibri"/>
      </rPr>
      <t>1.</t>
    </r>
    <r>
      <rPr>
        <b/>
        <sz val="11"/>
        <color rgb="FFFF0000"/>
        <rFont val="Calibri"/>
      </rPr>
      <t xml:space="preserve">               t℃</t>
    </r>
  </si>
  <si>
    <r>
      <rPr>
        <sz val="11"/>
        <color rgb="FFFF0000"/>
        <rFont val="Calibri"/>
      </rPr>
      <t xml:space="preserve">1.             </t>
    </r>
    <r>
      <rPr>
        <b/>
        <sz val="11"/>
        <color rgb="FFFF0000"/>
        <rFont val="Calibri"/>
      </rPr>
      <t xml:space="preserve"> m</t>
    </r>
    <r>
      <rPr>
        <sz val="11"/>
        <color rgb="FFFF0000"/>
        <rFont val="Calibri"/>
      </rPr>
      <t xml:space="preserve">  КГ</t>
    </r>
  </si>
  <si>
    <r>
      <rPr>
        <sz val="11"/>
        <color rgb="FFFF0000"/>
        <rFont val="Calibri"/>
      </rPr>
      <t xml:space="preserve">2.              </t>
    </r>
    <r>
      <rPr>
        <b/>
        <sz val="11"/>
        <color rgb="FFFF0000"/>
        <rFont val="Calibri"/>
      </rPr>
      <t xml:space="preserve"> t℃</t>
    </r>
  </si>
  <si>
    <r>
      <rPr>
        <sz val="11"/>
        <color rgb="FFFF0000"/>
        <rFont val="Calibri"/>
      </rPr>
      <t xml:space="preserve">2.               </t>
    </r>
    <r>
      <rPr>
        <b/>
        <sz val="11"/>
        <color rgb="FFFF0000"/>
        <rFont val="Calibri"/>
      </rPr>
      <t xml:space="preserve"> m</t>
    </r>
    <r>
      <rPr>
        <sz val="11"/>
        <color rgb="FFFF0000"/>
        <rFont val="Calibri"/>
      </rPr>
      <t xml:space="preserve"> КГ</t>
    </r>
  </si>
  <si>
    <t>итог:</t>
  </si>
  <si>
    <t>t℃</t>
  </si>
  <si>
    <t>m</t>
  </si>
  <si>
    <t>напряжение</t>
  </si>
  <si>
    <t>Схема параллельного подключенин ТЭНов.</t>
  </si>
  <si>
    <t>МОЩНОСТЬ</t>
  </si>
  <si>
    <t>ИЛИ</t>
  </si>
  <si>
    <t>СОПРОТИВЛЕНИЕ</t>
  </si>
  <si>
    <r>
      <rPr>
        <b/>
        <sz val="11"/>
        <color rgb="FF000000"/>
        <rFont val="Calibri"/>
      </rPr>
      <t>Р</t>
    </r>
    <r>
      <rPr>
        <sz val="11"/>
        <color theme="1"/>
        <rFont val="Calibri"/>
      </rPr>
      <t>(1)    кВт=</t>
    </r>
  </si>
  <si>
    <r>
      <rPr>
        <b/>
        <sz val="11"/>
        <color rgb="FF000000"/>
        <rFont val="Calibri"/>
      </rPr>
      <t>R</t>
    </r>
    <r>
      <rPr>
        <sz val="11"/>
        <color theme="1"/>
        <rFont val="Calibri"/>
      </rPr>
      <t>(1)   Om=</t>
    </r>
  </si>
  <si>
    <r>
      <rPr>
        <b/>
        <sz val="11"/>
        <color rgb="FF000000"/>
        <rFont val="Calibri"/>
      </rPr>
      <t>Р</t>
    </r>
    <r>
      <rPr>
        <sz val="11"/>
        <color theme="1"/>
        <rFont val="Calibri"/>
      </rPr>
      <t>(2)    кВт=</t>
    </r>
  </si>
  <si>
    <r>
      <rPr>
        <b/>
        <sz val="11"/>
        <color rgb="FF000000"/>
        <rFont val="Calibri"/>
      </rPr>
      <t>R</t>
    </r>
    <r>
      <rPr>
        <sz val="11"/>
        <color theme="1"/>
        <rFont val="Calibri"/>
      </rPr>
      <t>(2)   Om=</t>
    </r>
  </si>
  <si>
    <r>
      <rPr>
        <b/>
        <sz val="11"/>
        <color rgb="FF000000"/>
        <rFont val="Calibri"/>
      </rPr>
      <t>Р</t>
    </r>
    <r>
      <rPr>
        <sz val="11"/>
        <color theme="1"/>
        <rFont val="Calibri"/>
      </rPr>
      <t>(3)    кВт=</t>
    </r>
  </si>
  <si>
    <r>
      <rPr>
        <b/>
        <sz val="11"/>
        <color rgb="FF000000"/>
        <rFont val="Calibri"/>
      </rPr>
      <t>R</t>
    </r>
    <r>
      <rPr>
        <sz val="11"/>
        <color theme="1"/>
        <rFont val="Calibri"/>
      </rPr>
      <t>(3)   Om=</t>
    </r>
  </si>
  <si>
    <r>
      <rPr>
        <b/>
        <sz val="11"/>
        <color rgb="FF000000"/>
        <rFont val="Calibri"/>
      </rPr>
      <t>Р</t>
    </r>
    <r>
      <rPr>
        <sz val="11"/>
        <color theme="1"/>
        <rFont val="Calibri"/>
      </rPr>
      <t>(4)    кВт=</t>
    </r>
  </si>
  <si>
    <r>
      <rPr>
        <b/>
        <sz val="11"/>
        <color rgb="FF000000"/>
        <rFont val="Calibri"/>
      </rPr>
      <t>R</t>
    </r>
    <r>
      <rPr>
        <sz val="11"/>
        <color theme="1"/>
        <rFont val="Calibri"/>
      </rPr>
      <t>(4)   Om=</t>
    </r>
  </si>
  <si>
    <r>
      <rPr>
        <b/>
        <sz val="12"/>
        <color rgb="FF000000"/>
        <rFont val="Calibri"/>
      </rPr>
      <t>Р</t>
    </r>
    <r>
      <rPr>
        <sz val="7"/>
        <color rgb="FF000000"/>
        <rFont val="Calibri"/>
      </rPr>
      <t>общ</t>
    </r>
    <r>
      <rPr>
        <sz val="11"/>
        <color theme="1"/>
        <rFont val="Calibri"/>
      </rPr>
      <t xml:space="preserve">  </t>
    </r>
    <r>
      <rPr>
        <b/>
        <sz val="11"/>
        <color rgb="FF000000"/>
        <rFont val="Calibri"/>
      </rPr>
      <t>кВт</t>
    </r>
    <r>
      <rPr>
        <sz val="11"/>
        <color theme="1"/>
        <rFont val="Calibri"/>
      </rPr>
      <t>=</t>
    </r>
  </si>
  <si>
    <r>
      <rPr>
        <b/>
        <sz val="12"/>
        <color rgb="FF000000"/>
        <rFont val="Calibri"/>
      </rPr>
      <t>R</t>
    </r>
    <r>
      <rPr>
        <sz val="7"/>
        <color rgb="FF000000"/>
        <rFont val="Calibri"/>
      </rPr>
      <t>общ</t>
    </r>
    <r>
      <rPr>
        <sz val="11"/>
        <color theme="1"/>
        <rFont val="Calibri"/>
      </rPr>
      <t xml:space="preserve"> </t>
    </r>
    <r>
      <rPr>
        <b/>
        <sz val="11"/>
        <color rgb="FF000000"/>
        <rFont val="Calibri"/>
      </rPr>
      <t>Om</t>
    </r>
    <r>
      <rPr>
        <sz val="11"/>
        <color theme="1"/>
        <rFont val="Calibri"/>
      </rPr>
      <t>=</t>
    </r>
  </si>
  <si>
    <t>Схема последовательного подключения ТЭНов.</t>
  </si>
  <si>
    <r>
      <rPr>
        <sz val="14"/>
        <color rgb="FF000000"/>
        <rFont val="Calibri"/>
      </rPr>
      <t>R</t>
    </r>
    <r>
      <rPr>
        <sz val="7"/>
        <color rgb="FF000000"/>
        <rFont val="Calibri"/>
      </rPr>
      <t>общ</t>
    </r>
    <r>
      <rPr>
        <sz val="11"/>
        <color theme="1"/>
        <rFont val="Calibri"/>
      </rPr>
      <t xml:space="preserve"> </t>
    </r>
    <r>
      <rPr>
        <b/>
        <sz val="11"/>
        <color rgb="FF000000"/>
        <rFont val="Calibri"/>
      </rPr>
      <t>Om</t>
    </r>
    <r>
      <rPr>
        <sz val="11"/>
        <color theme="1"/>
        <rFont val="Calibri"/>
      </rPr>
      <t>=</t>
    </r>
  </si>
  <si>
    <t>Смешаная схема подключения ТЭНов.</t>
  </si>
  <si>
    <t>а</t>
  </si>
  <si>
    <t>в</t>
  </si>
  <si>
    <r>
      <rPr>
        <sz val="11"/>
        <color theme="1"/>
        <rFont val="Calibri"/>
      </rPr>
      <t xml:space="preserve">Темп.  </t>
    </r>
    <r>
      <rPr>
        <b/>
        <sz val="11"/>
        <color theme="1"/>
        <rFont val="Calibri"/>
      </rPr>
      <t xml:space="preserve"> t*С</t>
    </r>
  </si>
  <si>
    <r>
      <rPr>
        <sz val="11"/>
        <color theme="1"/>
        <rFont val="Calibri"/>
      </rPr>
      <t xml:space="preserve">Влаж.возд.   </t>
    </r>
    <r>
      <rPr>
        <b/>
        <sz val="12"/>
        <color theme="1"/>
        <rFont val="Calibri"/>
      </rPr>
      <t>%</t>
    </r>
  </si>
  <si>
    <r>
      <rPr>
        <sz val="11"/>
        <color theme="1"/>
        <rFont val="Calibri"/>
      </rPr>
      <t xml:space="preserve">Точка росы   </t>
    </r>
    <r>
      <rPr>
        <b/>
        <sz val="11"/>
        <color theme="1"/>
        <rFont val="Calibri"/>
      </rPr>
      <t>t*С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</si>
</sst>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.m"/>
    <numFmt numFmtId="165" formatCode="0.000"/>
    <numFmt numFmtId="166" formatCode="0.0"/>
  </numFmts>
  <fonts count="77" x14ac:knownFonts="1">
    <font>
      <sz val="11"/>
      <color rgb="FF000000"/>
      <name val="Arial"/>
      <scheme val="minor"/>
    </font>
    <font>
      <sz val="10"/>
      <color rgb="FF0F243E"/>
      <name val="Calibri"/>
    </font>
    <font>
      <b/>
      <sz val="10"/>
      <color rgb="FF000000"/>
      <name val="Calibri"/>
    </font>
    <font>
      <sz val="11"/>
      <color theme="1"/>
      <name val="Calibri"/>
    </font>
    <font>
      <b/>
      <sz val="10"/>
      <color theme="1"/>
      <name val="Calibri"/>
    </font>
    <font>
      <sz val="11"/>
      <color rgb="FF17365D"/>
      <name val="Calibri"/>
    </font>
    <font>
      <sz val="11"/>
      <name val="Arial"/>
    </font>
    <font>
      <b/>
      <sz val="20"/>
      <color rgb="FFFF0000"/>
      <name val="Calibri"/>
    </font>
    <font>
      <b/>
      <sz val="11"/>
      <color rgb="FFFF0000"/>
      <name val="Arimo"/>
    </font>
    <font>
      <b/>
      <sz val="24"/>
      <color rgb="FFFF0000"/>
      <name val="Calibri"/>
    </font>
    <font>
      <b/>
      <sz val="11"/>
      <color rgb="FF1F497D"/>
      <name val="Arimo"/>
    </font>
    <font>
      <b/>
      <sz val="12"/>
      <color rgb="FF1F497D"/>
      <name val="Calibri"/>
    </font>
    <font>
      <b/>
      <sz val="18"/>
      <color rgb="FFFF0000"/>
      <name val="Calibri"/>
    </font>
    <font>
      <sz val="11"/>
      <color rgb="FF0F243E"/>
      <name val="Calibri"/>
    </font>
    <font>
      <b/>
      <sz val="11"/>
      <color theme="1"/>
      <name val="Calibri"/>
    </font>
    <font>
      <b/>
      <sz val="14"/>
      <color rgb="FFFF0000"/>
      <name val="Calibri"/>
    </font>
    <font>
      <b/>
      <sz val="12"/>
      <color rgb="FFFF0000"/>
      <name val="Calibri"/>
    </font>
    <font>
      <b/>
      <sz val="12"/>
      <color rgb="FF0F243E"/>
      <name val="Calibri"/>
    </font>
    <font>
      <b/>
      <sz val="11"/>
      <color rgb="FF000000"/>
      <name val="Calibri"/>
    </font>
    <font>
      <sz val="8"/>
      <color rgb="FF3F3F3F"/>
      <name val="Calibri"/>
    </font>
    <font>
      <b/>
      <sz val="11"/>
      <color rgb="FF0F243E"/>
      <name val="Calibri"/>
    </font>
    <font>
      <b/>
      <sz val="12"/>
      <color theme="1"/>
      <name val="Calibri"/>
    </font>
    <font>
      <b/>
      <sz val="14"/>
      <color theme="1"/>
      <name val="Calibri"/>
    </font>
    <font>
      <b/>
      <sz val="9"/>
      <color theme="1"/>
      <name val="Calibri"/>
    </font>
    <font>
      <b/>
      <sz val="11"/>
      <color rgb="FF0C0C0C"/>
      <name val="Calibri"/>
    </font>
    <font>
      <b/>
      <sz val="12"/>
      <color rgb="FFFF0000"/>
      <name val="Arimo"/>
    </font>
    <font>
      <b/>
      <sz val="12"/>
      <color rgb="FF000000"/>
      <name val="Calibri"/>
    </font>
    <font>
      <b/>
      <sz val="14"/>
      <color rgb="FF262626"/>
      <name val="Calibri"/>
    </font>
    <font>
      <b/>
      <sz val="11"/>
      <color rgb="FFFF0000"/>
      <name val="Calibri"/>
    </font>
    <font>
      <b/>
      <sz val="11"/>
      <color rgb="FF494429"/>
      <name val="Calibri"/>
    </font>
    <font>
      <b/>
      <sz val="16"/>
      <color rgb="FF262626"/>
      <name val="Calibri"/>
    </font>
    <font>
      <b/>
      <sz val="16"/>
      <color theme="1"/>
      <name val="Calibri"/>
    </font>
    <font>
      <b/>
      <sz val="12"/>
      <color rgb="FF494429"/>
      <name val="Calibri"/>
    </font>
    <font>
      <b/>
      <sz val="10"/>
      <color rgb="FFFF0000"/>
      <name val="Calibri"/>
    </font>
    <font>
      <b/>
      <sz val="10"/>
      <color rgb="FF494429"/>
      <name val="Calibri"/>
    </font>
    <font>
      <b/>
      <i/>
      <sz val="11"/>
      <color theme="1"/>
      <name val="Calibri"/>
    </font>
    <font>
      <b/>
      <i/>
      <sz val="20"/>
      <color rgb="FFFF0000"/>
      <name val="Calibri"/>
    </font>
    <font>
      <sz val="11"/>
      <color rgb="FFFF0000"/>
      <name val="Calibri"/>
    </font>
    <font>
      <u/>
      <sz val="11"/>
      <color rgb="FF0000FF"/>
      <name val="Calibri"/>
    </font>
    <font>
      <u/>
      <sz val="11"/>
      <color theme="1"/>
      <name val="Calibri"/>
    </font>
    <font>
      <b/>
      <sz val="14"/>
      <color rgb="FFFF0000"/>
      <name val="Arimo"/>
    </font>
    <font>
      <sz val="14"/>
      <color rgb="FF000000"/>
      <name val="Calibri"/>
    </font>
    <font>
      <sz val="14"/>
      <color theme="1"/>
      <name val="Arimo"/>
    </font>
    <font>
      <sz val="12"/>
      <color rgb="FFFF0000"/>
      <name val="Calibri"/>
    </font>
    <font>
      <sz val="10"/>
      <color theme="1"/>
      <name val="Arimo"/>
    </font>
    <font>
      <b/>
      <sz val="16"/>
      <color rgb="FFFF0000"/>
      <name val="Calibri"/>
    </font>
    <font>
      <sz val="12"/>
      <color theme="1"/>
      <name val="Calibri"/>
    </font>
    <font>
      <sz val="11"/>
      <color rgb="FFFFFF00"/>
      <name val="Calibri"/>
    </font>
    <font>
      <sz val="10"/>
      <color rgb="FFFFFF00"/>
      <name val="Arimo"/>
    </font>
    <font>
      <sz val="11"/>
      <color rgb="FF660066"/>
      <name val="Calibri"/>
    </font>
    <font>
      <sz val="12"/>
      <color rgb="FF3F3F3F"/>
      <name val="Arimo"/>
    </font>
    <font>
      <sz val="12"/>
      <color theme="1"/>
      <name val="Arimo"/>
    </font>
    <font>
      <sz val="11"/>
      <color rgb="FF595959"/>
      <name val="Calibri"/>
    </font>
    <font>
      <sz val="10"/>
      <color rgb="FF595959"/>
      <name val="Arimo"/>
    </font>
    <font>
      <b/>
      <sz val="16"/>
      <color theme="1"/>
      <name val="Arimo"/>
    </font>
    <font>
      <b/>
      <sz val="14"/>
      <color theme="1"/>
      <name val="Arimo"/>
    </font>
    <font>
      <sz val="16"/>
      <color rgb="FF000000"/>
      <name val="Calibri"/>
    </font>
    <font>
      <b/>
      <sz val="14"/>
      <color rgb="FF333300"/>
      <name val="Calibri"/>
    </font>
    <font>
      <b/>
      <sz val="11"/>
      <color rgb="FF333300"/>
      <name val="Calibri"/>
    </font>
    <font>
      <b/>
      <sz val="11"/>
      <color rgb="FF993300"/>
      <name val="Calibri"/>
    </font>
    <font>
      <b/>
      <sz val="10"/>
      <color rgb="FF003366"/>
      <name val="Calibri"/>
    </font>
    <font>
      <sz val="10"/>
      <color rgb="FF000000"/>
      <name val="Calibri"/>
    </font>
    <font>
      <b/>
      <sz val="14"/>
      <color rgb="FF000000"/>
      <name val="Calibri"/>
    </font>
    <font>
      <b/>
      <sz val="16"/>
      <color rgb="FF000000"/>
      <name val="Calibri"/>
    </font>
    <font>
      <b/>
      <sz val="16"/>
      <color rgb="FF000080"/>
      <name val="Calibri"/>
    </font>
    <font>
      <sz val="10"/>
      <color rgb="FF000080"/>
      <name val="Calibri"/>
    </font>
    <font>
      <b/>
      <sz val="14"/>
      <color rgb="FF003366"/>
      <name val="Calibri"/>
    </font>
    <font>
      <sz val="11"/>
      <color rgb="FF000000"/>
      <name val="Calibri"/>
    </font>
    <font>
      <sz val="11"/>
      <color rgb="FF333333"/>
      <name val="Calibri"/>
    </font>
    <font>
      <b/>
      <sz val="14"/>
      <color rgb="FF808000"/>
      <name val="Calibri"/>
    </font>
    <font>
      <sz val="14"/>
      <color rgb="FFFF0000"/>
      <name val="Calibri"/>
    </font>
    <font>
      <sz val="14"/>
      <color theme="1"/>
      <name val="Calibri"/>
    </font>
    <font>
      <b/>
      <sz val="11"/>
      <color rgb="FFFFFF00"/>
      <name val="Calibri"/>
    </font>
    <font>
      <b/>
      <sz val="10"/>
      <color rgb="FFFFFF00"/>
      <name val="Arial Cyr"/>
    </font>
    <font>
      <b/>
      <sz val="11"/>
      <color rgb="FF660066"/>
      <name val="Calibri"/>
    </font>
    <font>
      <b/>
      <sz val="12"/>
      <color rgb="FF660066"/>
      <name val="Calibri"/>
    </font>
    <font>
      <sz val="7"/>
      <color rgb="FF000000"/>
      <name val="Calibri"/>
    </font>
  </fonts>
  <fills count="30">
    <fill>
      <patternFill patternType="none"/>
    </fill>
    <fill>
      <patternFill patternType="gray125"/>
    </fill>
    <fill>
      <patternFill patternType="solid">
        <fgColor rgb="FFFABF8F"/>
        <bgColor rgb="FFFABF8F"/>
      </patternFill>
    </fill>
    <fill>
      <patternFill patternType="solid">
        <fgColor rgb="FFFBD4B4"/>
        <bgColor rgb="FFFBD4B4"/>
      </patternFill>
    </fill>
    <fill>
      <patternFill patternType="solid">
        <fgColor rgb="FFFDE9D9"/>
        <bgColor rgb="FFFDE9D9"/>
      </patternFill>
    </fill>
    <fill>
      <patternFill patternType="solid">
        <fgColor rgb="FFE5DFEC"/>
        <bgColor rgb="FFE5DFEC"/>
      </patternFill>
    </fill>
    <fill>
      <patternFill patternType="solid">
        <fgColor rgb="FFEEECE1"/>
        <bgColor rgb="FFEEECE1"/>
      </patternFill>
    </fill>
    <fill>
      <patternFill patternType="solid">
        <fgColor rgb="FFFFCC99"/>
        <bgColor rgb="FFFFCC99"/>
      </patternFill>
    </fill>
    <fill>
      <patternFill patternType="solid">
        <fgColor rgb="FFC6D9F0"/>
        <bgColor rgb="FFC6D9F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DDD9C3"/>
        <bgColor rgb="FFDDD9C3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rgb="FFE5B8B7"/>
        <bgColor rgb="FFE5B8B7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FFFFCC"/>
        <bgColor rgb="FFFFFFCC"/>
      </patternFill>
    </fill>
    <fill>
      <patternFill patternType="solid">
        <fgColor rgb="FFCCCCFF"/>
        <bgColor rgb="FFCCCCFF"/>
      </patternFill>
    </fill>
    <fill>
      <patternFill patternType="solid">
        <fgColor rgb="FF99CC00"/>
        <bgColor rgb="FF99CC00"/>
      </patternFill>
    </fill>
    <fill>
      <patternFill patternType="solid">
        <fgColor rgb="FFF2DBDB"/>
        <bgColor rgb="FFF2DBDB"/>
      </patternFill>
    </fill>
    <fill>
      <patternFill patternType="solid">
        <fgColor rgb="FF0066CC"/>
        <bgColor rgb="FF0066CC"/>
      </patternFill>
    </fill>
    <fill>
      <patternFill patternType="solid">
        <fgColor rgb="FF003366"/>
        <bgColor rgb="FF003366"/>
      </patternFill>
    </fill>
    <fill>
      <patternFill patternType="solid">
        <fgColor rgb="FF339966"/>
        <bgColor rgb="FF339966"/>
      </patternFill>
    </fill>
    <fill>
      <patternFill patternType="solid">
        <fgColor rgb="FFC2D69B"/>
        <bgColor rgb="FFC2D69B"/>
      </patternFill>
    </fill>
    <fill>
      <patternFill patternType="solid">
        <fgColor rgb="FFC4BD97"/>
        <bgColor rgb="FFC4BD97"/>
      </patternFill>
    </fill>
    <fill>
      <patternFill patternType="solid">
        <fgColor rgb="FFFFCC00"/>
        <bgColor rgb="FFFFCC00"/>
      </patternFill>
    </fill>
    <fill>
      <patternFill patternType="solid">
        <fgColor rgb="FFCC99FF"/>
        <bgColor rgb="FFCC99FF"/>
      </patternFill>
    </fill>
    <fill>
      <patternFill patternType="solid">
        <fgColor rgb="FFDBE5F1"/>
        <bgColor rgb="FFDBE5F1"/>
      </patternFill>
    </fill>
  </fills>
  <borders count="12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dotted">
        <color rgb="FFFF0000"/>
      </right>
      <top style="thick">
        <color rgb="FFFF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993300"/>
      </left>
      <right/>
      <top style="dotted">
        <color rgb="FF993300"/>
      </top>
      <bottom style="dotted">
        <color rgb="FF993300"/>
      </bottom>
      <diagonal/>
    </border>
    <border>
      <left/>
      <right/>
      <top style="dotted">
        <color rgb="FF993300"/>
      </top>
      <bottom style="dotted">
        <color rgb="FF993300"/>
      </bottom>
      <diagonal/>
    </border>
    <border>
      <left/>
      <right style="dotted">
        <color rgb="FF993300"/>
      </right>
      <top style="dotted">
        <color rgb="FF993300"/>
      </top>
      <bottom style="dotted">
        <color rgb="FF993300"/>
      </bottom>
      <diagonal/>
    </border>
    <border>
      <left style="dotted">
        <color rgb="FF993300"/>
      </left>
      <right/>
      <top/>
      <bottom/>
      <diagonal/>
    </border>
    <border>
      <left/>
      <right/>
      <top/>
      <bottom/>
      <diagonal/>
    </border>
    <border>
      <left style="dotted">
        <color rgb="FFFF0000"/>
      </left>
      <right/>
      <top style="dotted">
        <color rgb="FFFF0000"/>
      </top>
      <bottom style="dotted">
        <color rgb="FFFF0000"/>
      </bottom>
      <diagonal/>
    </border>
    <border>
      <left/>
      <right/>
      <top style="dotted">
        <color rgb="FFFF0000"/>
      </top>
      <bottom style="dotted">
        <color rgb="FFFF0000"/>
      </bottom>
      <diagonal/>
    </border>
    <border>
      <left/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ck">
        <color rgb="FFFF0000"/>
      </left>
      <right style="thin">
        <color rgb="FF00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/>
      <top style="thick">
        <color rgb="FFFF0000"/>
      </top>
      <bottom style="thick">
        <color rgb="FFFF0000"/>
      </bottom>
      <diagonal/>
    </border>
    <border>
      <left style="medium">
        <color rgb="FF000000"/>
      </left>
      <right/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FF0000"/>
      </left>
      <right style="thin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4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4" borderId="6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16" xfId="0" applyFont="1" applyBorder="1" applyAlignment="1"/>
    <xf numFmtId="0" fontId="1" fillId="7" borderId="20" xfId="0" applyFont="1" applyFill="1" applyBorder="1" applyAlignment="1">
      <alignment horizontal="center" vertical="center" shrinkToFit="1"/>
    </xf>
    <xf numFmtId="0" fontId="13" fillId="4" borderId="20" xfId="0" applyFont="1" applyFill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2" fontId="4" fillId="0" borderId="0" xfId="0" applyNumberFormat="1" applyFont="1" applyAlignment="1">
      <alignment horizontal="center"/>
    </xf>
    <xf numFmtId="0" fontId="14" fillId="4" borderId="22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5" fillId="9" borderId="23" xfId="0" applyFont="1" applyFill="1" applyBorder="1" applyAlignment="1">
      <alignment horizontal="center"/>
    </xf>
    <xf numFmtId="0" fontId="3" fillId="9" borderId="22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0" fillId="11" borderId="27" xfId="0" applyFont="1" applyFill="1" applyBorder="1" applyAlignment="1">
      <alignment horizontal="center" vertical="center"/>
    </xf>
    <xf numFmtId="164" fontId="20" fillId="11" borderId="27" xfId="0" applyNumberFormat="1" applyFont="1" applyFill="1" applyBorder="1" applyAlignment="1">
      <alignment horizontal="center" vertical="center"/>
    </xf>
    <xf numFmtId="165" fontId="14" fillId="9" borderId="27" xfId="0" applyNumberFormat="1" applyFont="1" applyFill="1" applyBorder="1" applyAlignment="1">
      <alignment horizontal="center"/>
    </xf>
    <xf numFmtId="0" fontId="16" fillId="12" borderId="28" xfId="0" applyFont="1" applyFill="1" applyBorder="1" applyAlignment="1">
      <alignment horizontal="center" vertical="center"/>
    </xf>
    <xf numFmtId="2" fontId="21" fillId="12" borderId="2" xfId="0" applyNumberFormat="1" applyFont="1" applyFill="1" applyBorder="1" applyAlignment="1">
      <alignment horizontal="center" vertical="center"/>
    </xf>
    <xf numFmtId="0" fontId="21" fillId="12" borderId="29" xfId="0" applyFont="1" applyFill="1" applyBorder="1" applyAlignment="1">
      <alignment horizontal="center" vertical="center"/>
    </xf>
    <xf numFmtId="0" fontId="17" fillId="7" borderId="27" xfId="0" applyFont="1" applyFill="1" applyBorder="1" applyAlignment="1">
      <alignment horizontal="center" vertical="center"/>
    </xf>
    <xf numFmtId="165" fontId="18" fillId="3" borderId="27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/>
    </xf>
    <xf numFmtId="0" fontId="16" fillId="9" borderId="30" xfId="0" applyFont="1" applyFill="1" applyBorder="1" applyAlignment="1">
      <alignment horizontal="center" vertical="center"/>
    </xf>
    <xf numFmtId="0" fontId="3" fillId="0" borderId="0" xfId="0" applyFont="1" applyAlignment="1"/>
    <xf numFmtId="0" fontId="16" fillId="12" borderId="30" xfId="0" applyFont="1" applyFill="1" applyBorder="1" applyAlignment="1">
      <alignment horizontal="center" vertical="center"/>
    </xf>
    <xf numFmtId="0" fontId="21" fillId="10" borderId="31" xfId="0" applyFont="1" applyFill="1" applyBorder="1" applyAlignment="1">
      <alignment horizontal="center" vertical="center"/>
    </xf>
    <xf numFmtId="0" fontId="22" fillId="10" borderId="32" xfId="0" applyFont="1" applyFill="1" applyBorder="1" applyAlignment="1">
      <alignment horizontal="center" vertical="center"/>
    </xf>
    <xf numFmtId="165" fontId="22" fillId="0" borderId="33" xfId="0" applyNumberFormat="1" applyFont="1" applyBorder="1" applyAlignment="1">
      <alignment horizontal="center" vertical="center"/>
    </xf>
    <xf numFmtId="0" fontId="24" fillId="0" borderId="0" xfId="0" applyFont="1" applyAlignment="1"/>
    <xf numFmtId="0" fontId="22" fillId="10" borderId="36" xfId="0" applyFont="1" applyFill="1" applyBorder="1" applyAlignment="1">
      <alignment horizontal="center" vertical="center"/>
    </xf>
    <xf numFmtId="164" fontId="14" fillId="10" borderId="37" xfId="0" applyNumberFormat="1" applyFont="1" applyFill="1" applyBorder="1" applyAlignment="1">
      <alignment horizontal="center" vertical="center"/>
    </xf>
    <xf numFmtId="165" fontId="22" fillId="0" borderId="38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6" fillId="12" borderId="39" xfId="0" applyFont="1" applyFill="1" applyBorder="1" applyAlignment="1"/>
    <xf numFmtId="0" fontId="26" fillId="12" borderId="29" xfId="0" applyFont="1" applyFill="1" applyBorder="1" applyAlignment="1"/>
    <xf numFmtId="165" fontId="3" fillId="0" borderId="0" xfId="0" applyNumberFormat="1" applyFont="1" applyAlignment="1"/>
    <xf numFmtId="0" fontId="18" fillId="15" borderId="2" xfId="0" applyFont="1" applyFill="1" applyBorder="1" applyAlignment="1">
      <alignment horizont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0" fontId="18" fillId="15" borderId="53" xfId="0" applyFont="1" applyFill="1" applyBorder="1" applyAlignment="1">
      <alignment horizontal="center" vertical="center"/>
    </xf>
    <xf numFmtId="0" fontId="18" fillId="15" borderId="54" xfId="0" applyFont="1" applyFill="1" applyBorder="1" applyAlignment="1">
      <alignment horizontal="center" vertical="center"/>
    </xf>
    <xf numFmtId="0" fontId="14" fillId="15" borderId="55" xfId="0" applyFont="1" applyFill="1" applyBorder="1" applyAlignment="1">
      <alignment horizontal="center" vertical="center"/>
    </xf>
    <xf numFmtId="0" fontId="18" fillId="16" borderId="56" xfId="0" applyFont="1" applyFill="1" applyBorder="1" applyAlignment="1">
      <alignment horizontal="center" vertical="center"/>
    </xf>
    <xf numFmtId="0" fontId="18" fillId="16" borderId="57" xfId="0" applyFont="1" applyFill="1" applyBorder="1" applyAlignment="1">
      <alignment horizontal="center" vertical="center"/>
    </xf>
    <xf numFmtId="0" fontId="28" fillId="17" borderId="58" xfId="0" applyFont="1" applyFill="1" applyBorder="1" applyAlignment="1">
      <alignment horizontal="center" vertical="center"/>
    </xf>
    <xf numFmtId="0" fontId="18" fillId="17" borderId="59" xfId="0" applyFont="1" applyFill="1" applyBorder="1" applyAlignment="1">
      <alignment horizontal="center" vertical="center"/>
    </xf>
    <xf numFmtId="9" fontId="30" fillId="13" borderId="1" xfId="0" applyNumberFormat="1" applyFont="1" applyFill="1" applyBorder="1" applyAlignment="1">
      <alignment horizontal="center" vertical="center"/>
    </xf>
    <xf numFmtId="10" fontId="31" fillId="13" borderId="60" xfId="0" applyNumberFormat="1" applyFont="1" applyFill="1" applyBorder="1" applyAlignment="1">
      <alignment horizontal="center" vertical="center"/>
    </xf>
    <xf numFmtId="165" fontId="21" fillId="12" borderId="62" xfId="0" applyNumberFormat="1" applyFont="1" applyFill="1" applyBorder="1" applyAlignment="1">
      <alignment horizontal="center"/>
    </xf>
    <xf numFmtId="2" fontId="21" fillId="12" borderId="62" xfId="0" applyNumberFormat="1" applyFont="1" applyFill="1" applyBorder="1" applyAlignment="1">
      <alignment horizontal="center"/>
    </xf>
    <xf numFmtId="165" fontId="21" fillId="7" borderId="63" xfId="0" applyNumberFormat="1" applyFont="1" applyFill="1" applyBorder="1" applyAlignment="1">
      <alignment horizontal="center" vertical="center"/>
    </xf>
    <xf numFmtId="165" fontId="21" fillId="7" borderId="64" xfId="0" applyNumberFormat="1" applyFont="1" applyFill="1" applyBorder="1" applyAlignment="1">
      <alignment horizontal="center" vertical="center"/>
    </xf>
    <xf numFmtId="166" fontId="4" fillId="12" borderId="65" xfId="0" applyNumberFormat="1" applyFont="1" applyFill="1" applyBorder="1" applyAlignment="1">
      <alignment horizontal="center" vertical="center"/>
    </xf>
    <xf numFmtId="2" fontId="32" fillId="12" borderId="62" xfId="0" applyNumberFormat="1" applyFont="1" applyFill="1" applyBorder="1" applyAlignment="1">
      <alignment horizontal="center" vertical="center"/>
    </xf>
    <xf numFmtId="165" fontId="26" fillId="15" borderId="66" xfId="0" applyNumberFormat="1" applyFont="1" applyFill="1" applyBorder="1" applyAlignment="1">
      <alignment horizontal="center"/>
    </xf>
    <xf numFmtId="2" fontId="26" fillId="15" borderId="67" xfId="0" applyNumberFormat="1" applyFont="1" applyFill="1" applyBorder="1" applyAlignment="1">
      <alignment horizontal="center"/>
    </xf>
    <xf numFmtId="1" fontId="21" fillId="15" borderId="62" xfId="0" applyNumberFormat="1" applyFont="1" applyFill="1" applyBorder="1" applyAlignment="1">
      <alignment horizontal="center" vertical="center"/>
    </xf>
    <xf numFmtId="165" fontId="26" fillId="16" borderId="66" xfId="0" applyNumberFormat="1" applyFont="1" applyFill="1" applyBorder="1" applyAlignment="1">
      <alignment horizontal="center"/>
    </xf>
    <xf numFmtId="2" fontId="26" fillId="16" borderId="67" xfId="0" applyNumberFormat="1" applyFont="1" applyFill="1" applyBorder="1" applyAlignment="1">
      <alignment horizontal="center"/>
    </xf>
    <xf numFmtId="0" fontId="33" fillId="17" borderId="66" xfId="0" applyFont="1" applyFill="1" applyBorder="1" applyAlignment="1">
      <alignment horizontal="center"/>
    </xf>
    <xf numFmtId="2" fontId="26" fillId="17" borderId="67" xfId="0" applyNumberFormat="1" applyFont="1" applyFill="1" applyBorder="1" applyAlignment="1">
      <alignment horizontal="center"/>
    </xf>
    <xf numFmtId="2" fontId="14" fillId="13" borderId="63" xfId="0" applyNumberFormat="1" applyFont="1" applyFill="1" applyBorder="1" applyAlignment="1">
      <alignment horizontal="center" vertical="center"/>
    </xf>
    <xf numFmtId="2" fontId="24" fillId="13" borderId="64" xfId="0" applyNumberFormat="1" applyFont="1" applyFill="1" applyBorder="1" applyAlignment="1">
      <alignment horizontal="center" vertical="center"/>
    </xf>
    <xf numFmtId="166" fontId="4" fillId="12" borderId="30" xfId="0" applyNumberFormat="1" applyFont="1" applyFill="1" applyBorder="1" applyAlignment="1">
      <alignment horizontal="center" vertical="center"/>
    </xf>
    <xf numFmtId="2" fontId="21" fillId="12" borderId="30" xfId="0" applyNumberFormat="1" applyFont="1" applyFill="1" applyBorder="1" applyAlignment="1">
      <alignment horizontal="center"/>
    </xf>
    <xf numFmtId="166" fontId="21" fillId="3" borderId="30" xfId="0" applyNumberFormat="1" applyFont="1" applyFill="1" applyBorder="1" applyAlignment="1">
      <alignment horizontal="center"/>
    </xf>
    <xf numFmtId="165" fontId="21" fillId="3" borderId="30" xfId="0" applyNumberFormat="1" applyFont="1" applyFill="1" applyBorder="1" applyAlignment="1">
      <alignment horizontal="center"/>
    </xf>
    <xf numFmtId="165" fontId="14" fillId="0" borderId="68" xfId="0" applyNumberFormat="1" applyFont="1" applyBorder="1" applyAlignment="1">
      <alignment horizontal="center"/>
    </xf>
    <xf numFmtId="166" fontId="16" fillId="0" borderId="68" xfId="0" applyNumberFormat="1" applyFont="1" applyBorder="1" applyAlignment="1">
      <alignment horizontal="center"/>
    </xf>
    <xf numFmtId="165" fontId="4" fillId="0" borderId="69" xfId="0" applyNumberFormat="1" applyFont="1" applyBorder="1" applyAlignment="1">
      <alignment horizontal="center" vertical="center"/>
    </xf>
    <xf numFmtId="165" fontId="21" fillId="12" borderId="70" xfId="0" applyNumberFormat="1" applyFont="1" applyFill="1" applyBorder="1" applyAlignment="1">
      <alignment horizontal="center" vertical="center"/>
    </xf>
    <xf numFmtId="166" fontId="4" fillId="0" borderId="71" xfId="0" applyNumberFormat="1" applyFont="1" applyBorder="1" applyAlignment="1">
      <alignment horizontal="center" vertical="center"/>
    </xf>
    <xf numFmtId="166" fontId="34" fillId="0" borderId="72" xfId="0" applyNumberFormat="1" applyFont="1" applyBorder="1" applyAlignment="1">
      <alignment horizontal="center" vertical="center"/>
    </xf>
    <xf numFmtId="165" fontId="2" fillId="18" borderId="73" xfId="0" applyNumberFormat="1" applyFont="1" applyFill="1" applyBorder="1" applyAlignment="1">
      <alignment horizontal="center"/>
    </xf>
    <xf numFmtId="2" fontId="2" fillId="18" borderId="28" xfId="0" applyNumberFormat="1" applyFont="1" applyFill="1" applyBorder="1" applyAlignment="1">
      <alignment horizontal="center"/>
    </xf>
    <xf numFmtId="1" fontId="21" fillId="4" borderId="68" xfId="0" applyNumberFormat="1" applyFont="1" applyFill="1" applyBorder="1" applyAlignment="1">
      <alignment horizontal="center" vertical="center"/>
    </xf>
    <xf numFmtId="0" fontId="33" fillId="19" borderId="73" xfId="0" applyFont="1" applyFill="1" applyBorder="1" applyAlignment="1">
      <alignment horizontal="center"/>
    </xf>
    <xf numFmtId="2" fontId="2" fillId="19" borderId="28" xfId="0" applyNumberFormat="1" applyFont="1" applyFill="1" applyBorder="1" applyAlignment="1">
      <alignment horizontal="center"/>
    </xf>
    <xf numFmtId="2" fontId="14" fillId="9" borderId="69" xfId="0" applyNumberFormat="1" applyFont="1" applyFill="1" applyBorder="1" applyAlignment="1">
      <alignment horizontal="center" vertical="center"/>
    </xf>
    <xf numFmtId="2" fontId="24" fillId="9" borderId="70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/>
    </xf>
    <xf numFmtId="166" fontId="21" fillId="4" borderId="30" xfId="0" applyNumberFormat="1" applyFont="1" applyFill="1" applyBorder="1" applyAlignment="1">
      <alignment horizontal="center"/>
    </xf>
    <xf numFmtId="165" fontId="21" fillId="4" borderId="30" xfId="0" applyNumberFormat="1" applyFont="1" applyFill="1" applyBorder="1" applyAlignment="1">
      <alignment horizontal="center"/>
    </xf>
    <xf numFmtId="165" fontId="14" fillId="12" borderId="68" xfId="0" applyNumberFormat="1" applyFont="1" applyFill="1" applyBorder="1" applyAlignment="1">
      <alignment horizontal="center"/>
    </xf>
    <xf numFmtId="166" fontId="16" fillId="12" borderId="68" xfId="0" applyNumberFormat="1" applyFont="1" applyFill="1" applyBorder="1" applyAlignment="1">
      <alignment horizontal="center"/>
    </xf>
    <xf numFmtId="165" fontId="21" fillId="7" borderId="69" xfId="0" applyNumberFormat="1" applyFont="1" applyFill="1" applyBorder="1" applyAlignment="1">
      <alignment horizontal="center" vertical="center"/>
    </xf>
    <xf numFmtId="165" fontId="21" fillId="7" borderId="70" xfId="0" applyNumberFormat="1" applyFont="1" applyFill="1" applyBorder="1" applyAlignment="1">
      <alignment horizontal="center" vertical="center"/>
    </xf>
    <xf numFmtId="166" fontId="4" fillId="12" borderId="74" xfId="0" applyNumberFormat="1" applyFont="1" applyFill="1" applyBorder="1" applyAlignment="1">
      <alignment horizontal="center" vertical="center"/>
    </xf>
    <xf numFmtId="166" fontId="34" fillId="12" borderId="75" xfId="0" applyNumberFormat="1" applyFont="1" applyFill="1" applyBorder="1" applyAlignment="1">
      <alignment horizontal="center" vertical="center"/>
    </xf>
    <xf numFmtId="165" fontId="26" fillId="15" borderId="73" xfId="0" applyNumberFormat="1" applyFont="1" applyFill="1" applyBorder="1" applyAlignment="1">
      <alignment horizontal="center"/>
    </xf>
    <xf numFmtId="2" fontId="2" fillId="15" borderId="28" xfId="0" applyNumberFormat="1" applyFont="1" applyFill="1" applyBorder="1" applyAlignment="1">
      <alignment horizontal="center"/>
    </xf>
    <xf numFmtId="1" fontId="21" fillId="15" borderId="68" xfId="0" applyNumberFormat="1" applyFont="1" applyFill="1" applyBorder="1" applyAlignment="1">
      <alignment horizontal="center" vertical="center"/>
    </xf>
    <xf numFmtId="165" fontId="2" fillId="16" borderId="73" xfId="0" applyNumberFormat="1" applyFont="1" applyFill="1" applyBorder="1" applyAlignment="1">
      <alignment horizontal="center"/>
    </xf>
    <xf numFmtId="2" fontId="2" fillId="16" borderId="28" xfId="0" applyNumberFormat="1" applyFont="1" applyFill="1" applyBorder="1" applyAlignment="1">
      <alignment horizontal="center"/>
    </xf>
    <xf numFmtId="0" fontId="33" fillId="17" borderId="73" xfId="0" applyFont="1" applyFill="1" applyBorder="1" applyAlignment="1">
      <alignment horizontal="center"/>
    </xf>
    <xf numFmtId="2" fontId="2" fillId="17" borderId="28" xfId="0" applyNumberFormat="1" applyFont="1" applyFill="1" applyBorder="1" applyAlignment="1">
      <alignment horizontal="center"/>
    </xf>
    <xf numFmtId="2" fontId="14" fillId="13" borderId="69" xfId="0" applyNumberFormat="1" applyFont="1" applyFill="1" applyBorder="1" applyAlignment="1">
      <alignment horizontal="center" vertical="center"/>
    </xf>
    <xf numFmtId="2" fontId="24" fillId="13" borderId="70" xfId="0" applyNumberFormat="1" applyFont="1" applyFill="1" applyBorder="1" applyAlignment="1">
      <alignment horizontal="center" vertical="center"/>
    </xf>
    <xf numFmtId="166" fontId="21" fillId="12" borderId="30" xfId="0" applyNumberFormat="1" applyFont="1" applyFill="1" applyBorder="1" applyAlignment="1">
      <alignment horizontal="center"/>
    </xf>
    <xf numFmtId="166" fontId="16" fillId="0" borderId="68" xfId="0" applyNumberFormat="1" applyFont="1" applyBorder="1" applyAlignment="1">
      <alignment horizontal="center"/>
    </xf>
    <xf numFmtId="166" fontId="16" fillId="12" borderId="68" xfId="0" applyNumberFormat="1" applyFont="1" applyFill="1" applyBorder="1" applyAlignment="1">
      <alignment horizontal="center"/>
    </xf>
    <xf numFmtId="0" fontId="33" fillId="17" borderId="73" xfId="0" applyFont="1" applyFill="1" applyBorder="1" applyAlignment="1">
      <alignment horizontal="center"/>
    </xf>
    <xf numFmtId="0" fontId="33" fillId="19" borderId="73" xfId="0" applyFont="1" applyFill="1" applyBorder="1" applyAlignment="1">
      <alignment horizontal="center"/>
    </xf>
    <xf numFmtId="165" fontId="14" fillId="20" borderId="68" xfId="0" applyNumberFormat="1" applyFont="1" applyFill="1" applyBorder="1" applyAlignment="1">
      <alignment horizontal="center"/>
    </xf>
    <xf numFmtId="165" fontId="21" fillId="20" borderId="69" xfId="0" applyNumberFormat="1" applyFont="1" applyFill="1" applyBorder="1" applyAlignment="1">
      <alignment horizontal="center" vertical="center"/>
    </xf>
    <xf numFmtId="165" fontId="21" fillId="20" borderId="70" xfId="0" applyNumberFormat="1" applyFont="1" applyFill="1" applyBorder="1" applyAlignment="1">
      <alignment horizontal="center" vertical="center"/>
    </xf>
    <xf numFmtId="166" fontId="4" fillId="20" borderId="74" xfId="0" applyNumberFormat="1" applyFont="1" applyFill="1" applyBorder="1" applyAlignment="1">
      <alignment horizontal="center" vertical="center"/>
    </xf>
    <xf numFmtId="166" fontId="34" fillId="20" borderId="75" xfId="0" applyNumberFormat="1" applyFont="1" applyFill="1" applyBorder="1" applyAlignment="1">
      <alignment horizontal="center" vertical="center"/>
    </xf>
    <xf numFmtId="165" fontId="26" fillId="20" borderId="73" xfId="0" applyNumberFormat="1" applyFont="1" applyFill="1" applyBorder="1" applyAlignment="1">
      <alignment horizontal="center"/>
    </xf>
    <xf numFmtId="2" fontId="2" fillId="20" borderId="28" xfId="0" applyNumberFormat="1" applyFont="1" applyFill="1" applyBorder="1" applyAlignment="1">
      <alignment horizontal="center"/>
    </xf>
    <xf numFmtId="1" fontId="21" fillId="20" borderId="68" xfId="0" applyNumberFormat="1" applyFont="1" applyFill="1" applyBorder="1" applyAlignment="1">
      <alignment horizontal="center" vertical="center"/>
    </xf>
    <xf numFmtId="165" fontId="2" fillId="20" borderId="73" xfId="0" applyNumberFormat="1" applyFont="1" applyFill="1" applyBorder="1" applyAlignment="1">
      <alignment horizontal="center"/>
    </xf>
    <xf numFmtId="0" fontId="33" fillId="20" borderId="73" xfId="0" applyFont="1" applyFill="1" applyBorder="1" applyAlignment="1">
      <alignment horizontal="center"/>
    </xf>
    <xf numFmtId="2" fontId="14" fillId="20" borderId="69" xfId="0" applyNumberFormat="1" applyFont="1" applyFill="1" applyBorder="1" applyAlignment="1">
      <alignment horizontal="center" vertical="center"/>
    </xf>
    <xf numFmtId="2" fontId="24" fillId="20" borderId="70" xfId="0" applyNumberFormat="1" applyFont="1" applyFill="1" applyBorder="1" applyAlignment="1">
      <alignment horizontal="center" vertical="center"/>
    </xf>
    <xf numFmtId="0" fontId="3" fillId="20" borderId="27" xfId="0" applyFont="1" applyFill="1" applyBorder="1" applyAlignment="1"/>
    <xf numFmtId="166" fontId="4" fillId="20" borderId="30" xfId="0" applyNumberFormat="1" applyFont="1" applyFill="1" applyBorder="1" applyAlignment="1">
      <alignment horizontal="center" vertical="center"/>
    </xf>
    <xf numFmtId="166" fontId="21" fillId="20" borderId="30" xfId="0" applyNumberFormat="1" applyFont="1" applyFill="1" applyBorder="1" applyAlignment="1">
      <alignment horizontal="center"/>
    </xf>
    <xf numFmtId="165" fontId="21" fillId="20" borderId="30" xfId="0" applyNumberFormat="1" applyFont="1" applyFill="1" applyBorder="1" applyAlignment="1">
      <alignment horizontal="center"/>
    </xf>
    <xf numFmtId="165" fontId="16" fillId="4" borderId="30" xfId="0" applyNumberFormat="1" applyFont="1" applyFill="1" applyBorder="1" applyAlignment="1">
      <alignment horizontal="center"/>
    </xf>
    <xf numFmtId="165" fontId="16" fillId="3" borderId="30" xfId="0" applyNumberFormat="1" applyFont="1" applyFill="1" applyBorder="1" applyAlignment="1">
      <alignment horizontal="center"/>
    </xf>
    <xf numFmtId="165" fontId="14" fillId="0" borderId="76" xfId="0" applyNumberFormat="1" applyFont="1" applyBorder="1" applyAlignment="1">
      <alignment horizontal="center"/>
    </xf>
    <xf numFmtId="165" fontId="4" fillId="0" borderId="77" xfId="0" applyNumberFormat="1" applyFont="1" applyBorder="1" applyAlignment="1">
      <alignment horizontal="center" vertical="center"/>
    </xf>
    <xf numFmtId="165" fontId="21" fillId="12" borderId="78" xfId="0" applyNumberFormat="1" applyFont="1" applyFill="1" applyBorder="1" applyAlignment="1">
      <alignment horizontal="center" vertical="center"/>
    </xf>
    <xf numFmtId="166" fontId="4" fillId="0" borderId="79" xfId="0" applyNumberFormat="1" applyFont="1" applyBorder="1" applyAlignment="1">
      <alignment horizontal="center" vertical="center"/>
    </xf>
    <xf numFmtId="166" fontId="34" fillId="0" borderId="52" xfId="0" applyNumberFormat="1" applyFont="1" applyBorder="1" applyAlignment="1">
      <alignment horizontal="center" vertical="center"/>
    </xf>
    <xf numFmtId="165" fontId="2" fillId="18" borderId="80" xfId="0" applyNumberFormat="1" applyFont="1" applyFill="1" applyBorder="1" applyAlignment="1">
      <alignment horizontal="center"/>
    </xf>
    <xf numFmtId="2" fontId="2" fillId="18" borderId="81" xfId="0" applyNumberFormat="1" applyFont="1" applyFill="1" applyBorder="1" applyAlignment="1">
      <alignment horizontal="center"/>
    </xf>
    <xf numFmtId="1" fontId="21" fillId="4" borderId="76" xfId="0" applyNumberFormat="1" applyFont="1" applyFill="1" applyBorder="1" applyAlignment="1">
      <alignment horizontal="center" vertical="center"/>
    </xf>
    <xf numFmtId="0" fontId="33" fillId="19" borderId="80" xfId="0" applyFont="1" applyFill="1" applyBorder="1" applyAlignment="1">
      <alignment horizontal="center"/>
    </xf>
    <xf numFmtId="2" fontId="2" fillId="19" borderId="81" xfId="0" applyNumberFormat="1" applyFont="1" applyFill="1" applyBorder="1" applyAlignment="1">
      <alignment horizontal="center"/>
    </xf>
    <xf numFmtId="2" fontId="14" fillId="9" borderId="77" xfId="0" applyNumberFormat="1" applyFont="1" applyFill="1" applyBorder="1" applyAlignment="1">
      <alignment horizontal="center" vertical="center"/>
    </xf>
    <xf numFmtId="2" fontId="24" fillId="9" borderId="78" xfId="0" applyNumberFormat="1" applyFont="1" applyFill="1" applyBorder="1" applyAlignment="1">
      <alignment horizontal="center" vertical="center"/>
    </xf>
    <xf numFmtId="166" fontId="21" fillId="4" borderId="30" xfId="0" applyNumberFormat="1" applyFont="1" applyFill="1" applyBorder="1" applyAlignment="1">
      <alignment horizontal="center" vertical="center"/>
    </xf>
    <xf numFmtId="165" fontId="14" fillId="10" borderId="76" xfId="0" applyNumberFormat="1" applyFont="1" applyFill="1" applyBorder="1" applyAlignment="1">
      <alignment horizontal="center"/>
    </xf>
    <xf numFmtId="165" fontId="4" fillId="10" borderId="77" xfId="0" applyNumberFormat="1" applyFont="1" applyFill="1" applyBorder="1" applyAlignment="1">
      <alignment horizontal="center" vertical="center"/>
    </xf>
    <xf numFmtId="165" fontId="21" fillId="10" borderId="78" xfId="0" applyNumberFormat="1" applyFont="1" applyFill="1" applyBorder="1" applyAlignment="1">
      <alignment horizontal="center" vertical="center"/>
    </xf>
    <xf numFmtId="166" fontId="4" fillId="10" borderId="82" xfId="0" applyNumberFormat="1" applyFont="1" applyFill="1" applyBorder="1" applyAlignment="1">
      <alignment horizontal="center" vertical="center"/>
    </xf>
    <xf numFmtId="166" fontId="34" fillId="10" borderId="6" xfId="0" applyNumberFormat="1" applyFont="1" applyFill="1" applyBorder="1" applyAlignment="1">
      <alignment horizontal="center" vertical="center"/>
    </xf>
    <xf numFmtId="165" fontId="2" fillId="10" borderId="80" xfId="0" applyNumberFormat="1" applyFont="1" applyFill="1" applyBorder="1" applyAlignment="1">
      <alignment horizontal="center"/>
    </xf>
    <xf numFmtId="2" fontId="2" fillId="10" borderId="81" xfId="0" applyNumberFormat="1" applyFont="1" applyFill="1" applyBorder="1" applyAlignment="1">
      <alignment horizontal="center"/>
    </xf>
    <xf numFmtId="1" fontId="21" fillId="10" borderId="76" xfId="0" applyNumberFormat="1" applyFont="1" applyFill="1" applyBorder="1" applyAlignment="1">
      <alignment horizontal="center" vertical="center"/>
    </xf>
    <xf numFmtId="0" fontId="33" fillId="10" borderId="80" xfId="0" applyFont="1" applyFill="1" applyBorder="1" applyAlignment="1">
      <alignment horizontal="center"/>
    </xf>
    <xf numFmtId="2" fontId="14" fillId="10" borderId="77" xfId="0" applyNumberFormat="1" applyFont="1" applyFill="1" applyBorder="1" applyAlignment="1">
      <alignment horizontal="center" vertical="center"/>
    </xf>
    <xf numFmtId="2" fontId="24" fillId="10" borderId="78" xfId="0" applyNumberFormat="1" applyFont="1" applyFill="1" applyBorder="1" applyAlignment="1">
      <alignment horizontal="center" vertical="center"/>
    </xf>
    <xf numFmtId="0" fontId="3" fillId="10" borderId="27" xfId="0" applyFont="1" applyFill="1" applyBorder="1" applyAlignment="1"/>
    <xf numFmtId="166" fontId="4" fillId="10" borderId="30" xfId="0" applyNumberFormat="1" applyFont="1" applyFill="1" applyBorder="1" applyAlignment="1">
      <alignment horizontal="center" vertical="center"/>
    </xf>
    <xf numFmtId="166" fontId="21" fillId="10" borderId="30" xfId="0" applyNumberFormat="1" applyFont="1" applyFill="1" applyBorder="1" applyAlignment="1">
      <alignment horizontal="center"/>
    </xf>
    <xf numFmtId="166" fontId="21" fillId="10" borderId="30" xfId="0" applyNumberFormat="1" applyFont="1" applyFill="1" applyBorder="1" applyAlignment="1">
      <alignment horizontal="center" vertical="center"/>
    </xf>
    <xf numFmtId="165" fontId="16" fillId="10" borderId="30" xfId="0" applyNumberFormat="1" applyFont="1" applyFill="1" applyBorder="1" applyAlignment="1">
      <alignment horizontal="center"/>
    </xf>
    <xf numFmtId="165" fontId="3" fillId="10" borderId="27" xfId="0" applyNumberFormat="1" applyFont="1" applyFill="1" applyBorder="1" applyAlignment="1"/>
    <xf numFmtId="11" fontId="3" fillId="0" borderId="0" xfId="0" applyNumberFormat="1" applyFont="1" applyAlignment="1"/>
    <xf numFmtId="0" fontId="33" fillId="19" borderId="80" xfId="0" applyFont="1" applyFill="1" applyBorder="1" applyAlignment="1">
      <alignment horizontal="center"/>
    </xf>
    <xf numFmtId="0" fontId="33" fillId="10" borderId="80" xfId="0" applyFont="1" applyFill="1" applyBorder="1" applyAlignment="1">
      <alignment horizontal="center"/>
    </xf>
    <xf numFmtId="2" fontId="8" fillId="0" borderId="0" xfId="0" applyNumberFormat="1" applyFont="1" applyAlignment="1"/>
    <xf numFmtId="0" fontId="36" fillId="3" borderId="39" xfId="0" applyFont="1" applyFill="1" applyBorder="1" applyAlignment="1">
      <alignment horizontal="center" vertical="center"/>
    </xf>
    <xf numFmtId="0" fontId="35" fillId="0" borderId="5" xfId="0" applyFont="1" applyBorder="1" applyAlignment="1">
      <alignment vertical="center"/>
    </xf>
    <xf numFmtId="0" fontId="37" fillId="16" borderId="2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/>
    </xf>
    <xf numFmtId="2" fontId="14" fillId="3" borderId="23" xfId="0" applyNumberFormat="1" applyFont="1" applyFill="1" applyBorder="1" applyAlignment="1">
      <alignment horizontal="center"/>
    </xf>
    <xf numFmtId="2" fontId="18" fillId="3" borderId="23" xfId="0" applyNumberFormat="1" applyFont="1" applyFill="1" applyBorder="1" applyAlignment="1">
      <alignment horizontal="center"/>
    </xf>
    <xf numFmtId="0" fontId="16" fillId="16" borderId="30" xfId="0" applyFont="1" applyFill="1" applyBorder="1" applyAlignment="1">
      <alignment horizontal="center"/>
    </xf>
    <xf numFmtId="2" fontId="14" fillId="3" borderId="30" xfId="0" applyNumberFormat="1" applyFont="1" applyFill="1" applyBorder="1" applyAlignment="1">
      <alignment horizontal="center"/>
    </xf>
    <xf numFmtId="2" fontId="18" fillId="3" borderId="30" xfId="0" applyNumberFormat="1" applyFont="1" applyFill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14" fillId="0" borderId="0" xfId="0" applyFont="1" applyAlignment="1"/>
    <xf numFmtId="2" fontId="40" fillId="0" borderId="0" xfId="0" applyNumberFormat="1" applyFont="1" applyAlignment="1"/>
    <xf numFmtId="2" fontId="41" fillId="0" borderId="0" xfId="0" applyNumberFormat="1" applyFont="1" applyAlignment="1"/>
    <xf numFmtId="0" fontId="42" fillId="0" borderId="0" xfId="0" applyFont="1" applyAlignment="1"/>
    <xf numFmtId="2" fontId="43" fillId="21" borderId="30" xfId="0" applyNumberFormat="1" applyFont="1" applyFill="1" applyBorder="1" applyAlignment="1">
      <alignment horizontal="center" wrapText="1"/>
    </xf>
    <xf numFmtId="0" fontId="28" fillId="6" borderId="30" xfId="0" applyFont="1" applyFill="1" applyBorder="1" applyAlignment="1">
      <alignment horizontal="center" vertical="center" wrapText="1"/>
    </xf>
    <xf numFmtId="2" fontId="28" fillId="6" borderId="28" xfId="0" applyNumberFormat="1" applyFont="1" applyFill="1" applyBorder="1" applyAlignment="1">
      <alignment horizontal="center" vertical="center" wrapText="1"/>
    </xf>
    <xf numFmtId="0" fontId="44" fillId="0" borderId="0" xfId="0" applyFont="1" applyAlignment="1"/>
    <xf numFmtId="2" fontId="3" fillId="0" borderId="0" xfId="0" applyNumberFormat="1" applyFont="1" applyAlignment="1"/>
    <xf numFmtId="0" fontId="45" fillId="0" borderId="30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2" fontId="3" fillId="22" borderId="2" xfId="0" applyNumberFormat="1" applyFont="1" applyFill="1" applyBorder="1" applyAlignment="1">
      <alignment horizontal="center"/>
    </xf>
    <xf numFmtId="2" fontId="3" fillId="22" borderId="29" xfId="0" applyNumberFormat="1" applyFont="1" applyFill="1" applyBorder="1" applyAlignment="1">
      <alignment horizontal="center"/>
    </xf>
    <xf numFmtId="2" fontId="3" fillId="22" borderId="29" xfId="0" applyNumberFormat="1" applyFont="1" applyFill="1" applyBorder="1" applyAlignment="1">
      <alignment horizontal="center" vertical="center"/>
    </xf>
    <xf numFmtId="2" fontId="3" fillId="0" borderId="86" xfId="0" applyNumberFormat="1" applyFont="1" applyBorder="1" applyAlignment="1"/>
    <xf numFmtId="2" fontId="3" fillId="0" borderId="0" xfId="0" applyNumberFormat="1" applyFont="1" applyAlignment="1">
      <alignment horizontal="center" vertical="center"/>
    </xf>
    <xf numFmtId="2" fontId="46" fillId="21" borderId="30" xfId="0" applyNumberFormat="1" applyFont="1" applyFill="1" applyBorder="1" applyAlignment="1">
      <alignment horizontal="center" wrapText="1"/>
    </xf>
    <xf numFmtId="2" fontId="21" fillId="21" borderId="30" xfId="0" applyNumberFormat="1" applyFont="1" applyFill="1" applyBorder="1" applyAlignment="1">
      <alignment horizontal="center" wrapText="1"/>
    </xf>
    <xf numFmtId="2" fontId="47" fillId="23" borderId="66" xfId="0" applyNumberFormat="1" applyFont="1" applyFill="1" applyBorder="1" applyAlignment="1">
      <alignment horizontal="center" wrapText="1"/>
    </xf>
    <xf numFmtId="0" fontId="48" fillId="23" borderId="64" xfId="0" applyFont="1" applyFill="1" applyBorder="1" applyAlignment="1">
      <alignment horizontal="center" wrapText="1"/>
    </xf>
    <xf numFmtId="2" fontId="49" fillId="24" borderId="63" xfId="0" applyNumberFormat="1" applyFont="1" applyFill="1" applyBorder="1" applyAlignment="1">
      <alignment horizontal="center" wrapText="1"/>
    </xf>
    <xf numFmtId="2" fontId="49" fillId="24" borderId="60" xfId="0" applyNumberFormat="1" applyFont="1" applyFill="1" applyBorder="1" applyAlignment="1">
      <alignment horizontal="center" wrapText="1"/>
    </xf>
    <xf numFmtId="2" fontId="49" fillId="24" borderId="87" xfId="0" applyNumberFormat="1" applyFont="1" applyFill="1" applyBorder="1" applyAlignment="1">
      <alignment horizontal="center" wrapText="1"/>
    </xf>
    <xf numFmtId="2" fontId="47" fillId="23" borderId="88" xfId="0" applyNumberFormat="1" applyFont="1" applyFill="1" applyBorder="1" applyAlignment="1">
      <alignment horizontal="center" wrapText="1"/>
    </xf>
    <xf numFmtId="0" fontId="37" fillId="0" borderId="0" xfId="0" applyFont="1" applyAlignment="1"/>
    <xf numFmtId="2" fontId="50" fillId="21" borderId="69" xfId="0" applyNumberFormat="1" applyFont="1" applyFill="1" applyBorder="1" applyAlignment="1"/>
    <xf numFmtId="1" fontId="50" fillId="21" borderId="28" xfId="0" applyNumberFormat="1" applyFont="1" applyFill="1" applyBorder="1" applyAlignment="1">
      <alignment horizontal="center" vertical="center"/>
    </xf>
    <xf numFmtId="165" fontId="51" fillId="21" borderId="75" xfId="0" applyNumberFormat="1" applyFont="1" applyFill="1" applyBorder="1" applyAlignment="1">
      <alignment horizontal="center"/>
    </xf>
    <xf numFmtId="1" fontId="52" fillId="19" borderId="73" xfId="0" applyNumberFormat="1" applyFont="1" applyFill="1" applyBorder="1" applyAlignment="1">
      <alignment horizontal="center" vertical="center"/>
    </xf>
    <xf numFmtId="1" fontId="53" fillId="10" borderId="89" xfId="0" applyNumberFormat="1" applyFont="1" applyFill="1" applyBorder="1" applyAlignment="1">
      <alignment horizontal="center" vertical="center"/>
    </xf>
    <xf numFmtId="1" fontId="52" fillId="19" borderId="69" xfId="0" applyNumberFormat="1" applyFont="1" applyFill="1" applyBorder="1" applyAlignment="1">
      <alignment horizontal="center" vertical="center"/>
    </xf>
    <xf numFmtId="1" fontId="52" fillId="10" borderId="30" xfId="0" applyNumberFormat="1" applyFont="1" applyFill="1" applyBorder="1" applyAlignment="1">
      <alignment horizontal="center" vertical="center"/>
    </xf>
    <xf numFmtId="1" fontId="52" fillId="25" borderId="20" xfId="0" applyNumberFormat="1" applyFont="1" applyFill="1" applyBorder="1" applyAlignment="1">
      <alignment horizontal="center" vertical="center"/>
    </xf>
    <xf numFmtId="2" fontId="52" fillId="19" borderId="90" xfId="0" applyNumberFormat="1" applyFont="1" applyFill="1" applyBorder="1" applyAlignment="1">
      <alignment horizontal="center" vertical="center"/>
    </xf>
    <xf numFmtId="2" fontId="50" fillId="18" borderId="69" xfId="0" applyNumberFormat="1" applyFont="1" applyFill="1" applyBorder="1" applyAlignment="1"/>
    <xf numFmtId="1" fontId="50" fillId="18" borderId="59" xfId="0" applyNumberFormat="1" applyFont="1" applyFill="1" applyBorder="1" applyAlignment="1">
      <alignment horizontal="center" vertical="center"/>
    </xf>
    <xf numFmtId="165" fontId="51" fillId="18" borderId="68" xfId="0" applyNumberFormat="1" applyFont="1" applyFill="1" applyBorder="1" applyAlignment="1">
      <alignment horizontal="center"/>
    </xf>
    <xf numFmtId="1" fontId="52" fillId="18" borderId="58" xfId="0" applyNumberFormat="1" applyFont="1" applyFill="1" applyBorder="1" applyAlignment="1">
      <alignment horizontal="center" vertical="center"/>
    </xf>
    <xf numFmtId="1" fontId="53" fillId="18" borderId="89" xfId="0" applyNumberFormat="1" applyFont="1" applyFill="1" applyBorder="1" applyAlignment="1">
      <alignment horizontal="center" vertical="center"/>
    </xf>
    <xf numFmtId="1" fontId="52" fillId="18" borderId="91" xfId="0" applyNumberFormat="1" applyFont="1" applyFill="1" applyBorder="1" applyAlignment="1">
      <alignment horizontal="center" vertical="center"/>
    </xf>
    <xf numFmtId="1" fontId="52" fillId="0" borderId="30" xfId="0" applyNumberFormat="1" applyFont="1" applyBorder="1" applyAlignment="1">
      <alignment horizontal="center" vertical="center"/>
    </xf>
    <xf numFmtId="1" fontId="52" fillId="0" borderId="21" xfId="0" applyNumberFormat="1" applyFont="1" applyBorder="1" applyAlignment="1">
      <alignment horizontal="center" vertical="center"/>
    </xf>
    <xf numFmtId="2" fontId="52" fillId="18" borderId="90" xfId="0" applyNumberFormat="1" applyFont="1" applyFill="1" applyBorder="1" applyAlignment="1">
      <alignment horizontal="center" vertical="center"/>
    </xf>
    <xf numFmtId="2" fontId="50" fillId="18" borderId="91" xfId="0" applyNumberFormat="1" applyFont="1" applyFill="1" applyBorder="1" applyAlignment="1"/>
    <xf numFmtId="165" fontId="51" fillId="18" borderId="92" xfId="0" applyNumberFormat="1" applyFont="1" applyFill="1" applyBorder="1" applyAlignment="1">
      <alignment horizontal="center"/>
    </xf>
    <xf numFmtId="2" fontId="52" fillId="18" borderId="93" xfId="0" applyNumberFormat="1" applyFont="1" applyFill="1" applyBorder="1" applyAlignment="1">
      <alignment horizontal="center" vertical="center"/>
    </xf>
    <xf numFmtId="2" fontId="54" fillId="0" borderId="94" xfId="0" applyNumberFormat="1" applyFont="1" applyBorder="1" applyAlignment="1"/>
    <xf numFmtId="1" fontId="54" fillId="0" borderId="95" xfId="0" applyNumberFormat="1" applyFont="1" applyBorder="1" applyAlignment="1">
      <alignment horizontal="center" vertical="center"/>
    </xf>
    <xf numFmtId="165" fontId="54" fillId="0" borderId="96" xfId="0" applyNumberFormat="1" applyFont="1" applyBorder="1" applyAlignment="1">
      <alignment horizontal="center"/>
    </xf>
    <xf numFmtId="1" fontId="22" fillId="19" borderId="97" xfId="0" applyNumberFormat="1" applyFont="1" applyFill="1" applyBorder="1" applyAlignment="1">
      <alignment horizontal="center" vertical="center"/>
    </xf>
    <xf numFmtId="1" fontId="55" fillId="10" borderId="98" xfId="0" applyNumberFormat="1" applyFont="1" applyFill="1" applyBorder="1" applyAlignment="1">
      <alignment horizontal="center" vertical="center"/>
    </xf>
    <xf numFmtId="1" fontId="22" fillId="19" borderId="98" xfId="0" applyNumberFormat="1" applyFont="1" applyFill="1" applyBorder="1" applyAlignment="1">
      <alignment horizontal="center" vertical="center"/>
    </xf>
    <xf numFmtId="1" fontId="22" fillId="10" borderId="98" xfId="0" applyNumberFormat="1" applyFont="1" applyFill="1" applyBorder="1" applyAlignment="1">
      <alignment horizontal="center" vertical="center"/>
    </xf>
    <xf numFmtId="1" fontId="21" fillId="26" borderId="98" xfId="0" applyNumberFormat="1" applyFont="1" applyFill="1" applyBorder="1" applyAlignment="1">
      <alignment horizontal="center" vertical="center"/>
    </xf>
    <xf numFmtId="2" fontId="22" fillId="19" borderId="99" xfId="0" applyNumberFormat="1" applyFont="1" applyFill="1" applyBorder="1" applyAlignment="1">
      <alignment horizontal="center" vertical="center"/>
    </xf>
    <xf numFmtId="2" fontId="50" fillId="18" borderId="100" xfId="0" applyNumberFormat="1" applyFont="1" applyFill="1" applyBorder="1" applyAlignment="1"/>
    <xf numFmtId="1" fontId="50" fillId="18" borderId="23" xfId="0" applyNumberFormat="1" applyFont="1" applyFill="1" applyBorder="1" applyAlignment="1">
      <alignment horizontal="center" vertical="center"/>
    </xf>
    <xf numFmtId="165" fontId="51" fillId="18" borderId="75" xfId="0" applyNumberFormat="1" applyFont="1" applyFill="1" applyBorder="1" applyAlignment="1">
      <alignment horizontal="center"/>
    </xf>
    <xf numFmtId="1" fontId="52" fillId="18" borderId="100" xfId="0" applyNumberFormat="1" applyFont="1" applyFill="1" applyBorder="1" applyAlignment="1">
      <alignment horizontal="center" vertical="center"/>
    </xf>
    <xf numFmtId="1" fontId="53" fillId="18" borderId="101" xfId="0" applyNumberFormat="1" applyFont="1" applyFill="1" applyBorder="1" applyAlignment="1">
      <alignment horizontal="center" vertical="center"/>
    </xf>
    <xf numFmtId="1" fontId="52" fillId="18" borderId="102" xfId="0" applyNumberFormat="1" applyFont="1" applyFill="1" applyBorder="1" applyAlignment="1">
      <alignment horizontal="center" vertical="center"/>
    </xf>
    <xf numFmtId="1" fontId="52" fillId="0" borderId="61" xfId="0" applyNumberFormat="1" applyFont="1" applyBorder="1" applyAlignment="1">
      <alignment horizontal="center" vertical="center"/>
    </xf>
    <xf numFmtId="2" fontId="52" fillId="18" borderId="103" xfId="0" applyNumberFormat="1" applyFont="1" applyFill="1" applyBorder="1" applyAlignment="1">
      <alignment horizontal="center" vertical="center"/>
    </xf>
    <xf numFmtId="1" fontId="50" fillId="21" borderId="30" xfId="0" applyNumberFormat="1" applyFont="1" applyFill="1" applyBorder="1" applyAlignment="1">
      <alignment horizontal="center" vertical="center"/>
    </xf>
    <xf numFmtId="1" fontId="53" fillId="10" borderId="101" xfId="0" applyNumberFormat="1" applyFont="1" applyFill="1" applyBorder="1" applyAlignment="1">
      <alignment horizontal="center" vertical="center"/>
    </xf>
    <xf numFmtId="1" fontId="52" fillId="19" borderId="104" xfId="0" applyNumberFormat="1" applyFont="1" applyFill="1" applyBorder="1" applyAlignment="1">
      <alignment horizontal="center" vertical="center"/>
    </xf>
    <xf numFmtId="1" fontId="52" fillId="25" borderId="23" xfId="0" applyNumberFormat="1" applyFont="1" applyFill="1" applyBorder="1" applyAlignment="1">
      <alignment horizontal="center" vertical="center"/>
    </xf>
    <xf numFmtId="0" fontId="44" fillId="0" borderId="86" xfId="0" applyFont="1" applyBorder="1" applyAlignment="1"/>
    <xf numFmtId="1" fontId="50" fillId="18" borderId="30" xfId="0" applyNumberFormat="1" applyFont="1" applyFill="1" applyBorder="1" applyAlignment="1">
      <alignment horizontal="center" vertical="center"/>
    </xf>
    <xf numFmtId="0" fontId="58" fillId="28" borderId="63" xfId="0" applyFont="1" applyFill="1" applyBorder="1" applyAlignment="1">
      <alignment horizontal="center" vertical="center" shrinkToFit="1"/>
    </xf>
    <xf numFmtId="0" fontId="58" fillId="28" borderId="64" xfId="0" applyFont="1" applyFill="1" applyBorder="1" applyAlignment="1">
      <alignment horizontal="center" vertical="center" shrinkToFit="1"/>
    </xf>
    <xf numFmtId="1" fontId="16" fillId="17" borderId="69" xfId="0" applyNumberFormat="1" applyFont="1" applyFill="1" applyBorder="1" applyAlignment="1"/>
    <xf numFmtId="2" fontId="16" fillId="17" borderId="28" xfId="0" applyNumberFormat="1" applyFont="1" applyFill="1" applyBorder="1" applyAlignment="1"/>
    <xf numFmtId="0" fontId="16" fillId="27" borderId="69" xfId="0" applyFont="1" applyFill="1" applyBorder="1" applyAlignment="1"/>
    <xf numFmtId="2" fontId="16" fillId="27" borderId="70" xfId="0" applyNumberFormat="1" applyFont="1" applyFill="1" applyBorder="1" applyAlignment="1"/>
    <xf numFmtId="2" fontId="58" fillId="28" borderId="69" xfId="0" applyNumberFormat="1" applyFont="1" applyFill="1" applyBorder="1" applyAlignment="1"/>
    <xf numFmtId="2" fontId="58" fillId="28" borderId="70" xfId="0" applyNumberFormat="1" applyFont="1" applyFill="1" applyBorder="1" applyAlignment="1"/>
    <xf numFmtId="1" fontId="16" fillId="18" borderId="69" xfId="0" applyNumberFormat="1" applyFont="1" applyFill="1" applyBorder="1" applyAlignment="1"/>
    <xf numFmtId="2" fontId="16" fillId="18" borderId="28" xfId="0" applyNumberFormat="1" applyFont="1" applyFill="1" applyBorder="1" applyAlignment="1"/>
    <xf numFmtId="0" fontId="16" fillId="18" borderId="69" xfId="0" applyFont="1" applyFill="1" applyBorder="1" applyAlignment="1"/>
    <xf numFmtId="2" fontId="16" fillId="18" borderId="70" xfId="0" applyNumberFormat="1" applyFont="1" applyFill="1" applyBorder="1" applyAlignment="1"/>
    <xf numFmtId="2" fontId="58" fillId="18" borderId="69" xfId="0" applyNumberFormat="1" applyFont="1" applyFill="1" applyBorder="1" applyAlignment="1"/>
    <xf numFmtId="2" fontId="58" fillId="18" borderId="70" xfId="0" applyNumberFormat="1" applyFont="1" applyFill="1" applyBorder="1" applyAlignment="1"/>
    <xf numFmtId="0" fontId="15" fillId="4" borderId="55" xfId="0" applyFont="1" applyFill="1" applyBorder="1" applyAlignment="1">
      <alignment horizontal="center" vertical="center"/>
    </xf>
    <xf numFmtId="0" fontId="3" fillId="0" borderId="13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86" xfId="0" applyFont="1" applyBorder="1" applyAlignment="1"/>
    <xf numFmtId="0" fontId="3" fillId="13" borderId="27" xfId="0" applyFont="1" applyFill="1" applyBorder="1" applyAlignment="1"/>
    <xf numFmtId="0" fontId="3" fillId="0" borderId="111" xfId="0" applyFont="1" applyBorder="1" applyAlignment="1"/>
    <xf numFmtId="0" fontId="3" fillId="13" borderId="112" xfId="0" applyFont="1" applyFill="1" applyBorder="1" applyAlignment="1"/>
    <xf numFmtId="0" fontId="3" fillId="13" borderId="113" xfId="0" applyFont="1" applyFill="1" applyBorder="1" applyAlignment="1"/>
    <xf numFmtId="0" fontId="3" fillId="13" borderId="114" xfId="0" applyFont="1" applyFill="1" applyBorder="1" applyAlignment="1"/>
    <xf numFmtId="0" fontId="3" fillId="13" borderId="115" xfId="0" applyFont="1" applyFill="1" applyBorder="1" applyAlignment="1"/>
    <xf numFmtId="0" fontId="22" fillId="13" borderId="27" xfId="0" applyFont="1" applyFill="1" applyBorder="1" applyAlignment="1">
      <alignment horizontal="center" vertical="center"/>
    </xf>
    <xf numFmtId="0" fontId="14" fillId="25" borderId="30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" fillId="10" borderId="30" xfId="0" applyFont="1" applyFill="1" applyBorder="1" applyAlignment="1"/>
    <xf numFmtId="0" fontId="16" fillId="29" borderId="30" xfId="0" applyFont="1" applyFill="1" applyBorder="1" applyAlignment="1">
      <alignment horizontal="center" vertical="center"/>
    </xf>
    <xf numFmtId="0" fontId="16" fillId="11" borderId="30" xfId="0" applyFont="1" applyFill="1" applyBorder="1" applyAlignment="1">
      <alignment horizontal="center" vertical="center"/>
    </xf>
    <xf numFmtId="0" fontId="3" fillId="13" borderId="117" xfId="0" applyFont="1" applyFill="1" applyBorder="1" applyAlignment="1"/>
    <xf numFmtId="0" fontId="3" fillId="13" borderId="118" xfId="0" applyFont="1" applyFill="1" applyBorder="1" applyAlignment="1"/>
    <xf numFmtId="0" fontId="3" fillId="10" borderId="119" xfId="0" applyFont="1" applyFill="1" applyBorder="1" applyAlignment="1"/>
    <xf numFmtId="0" fontId="22" fillId="27" borderId="29" xfId="0" applyFont="1" applyFill="1" applyBorder="1" applyAlignment="1">
      <alignment horizontal="center" vertical="center"/>
    </xf>
    <xf numFmtId="0" fontId="3" fillId="0" borderId="46" xfId="0" applyFont="1" applyBorder="1" applyAlignment="1"/>
    <xf numFmtId="0" fontId="3" fillId="0" borderId="79" xfId="0" applyFont="1" applyBorder="1" applyAlignment="1"/>
    <xf numFmtId="0" fontId="3" fillId="13" borderId="82" xfId="0" applyFont="1" applyFill="1" applyBorder="1" applyAlignment="1"/>
    <xf numFmtId="0" fontId="3" fillId="0" borderId="47" xfId="0" applyFont="1" applyBorder="1" applyAlignment="1"/>
    <xf numFmtId="0" fontId="14" fillId="0" borderId="14" xfId="0" applyFont="1" applyBorder="1" applyAlignment="1">
      <alignment horizontal="center"/>
    </xf>
    <xf numFmtId="0" fontId="22" fillId="13" borderId="82" xfId="0" applyFont="1" applyFill="1" applyBorder="1" applyAlignment="1">
      <alignment vertical="center"/>
    </xf>
    <xf numFmtId="0" fontId="22" fillId="13" borderId="27" xfId="0" applyFont="1" applyFill="1" applyBorder="1" applyAlignment="1">
      <alignment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19" xfId="0" applyFont="1" applyFill="1" applyBorder="1" applyAlignment="1">
      <alignment horizontal="center" vertical="center"/>
    </xf>
    <xf numFmtId="0" fontId="3" fillId="13" borderId="87" xfId="0" applyFont="1" applyFill="1" applyBorder="1" applyAlignment="1"/>
    <xf numFmtId="0" fontId="3" fillId="0" borderId="120" xfId="0" applyFont="1" applyBorder="1" applyAlignment="1"/>
    <xf numFmtId="0" fontId="21" fillId="0" borderId="120" xfId="0" applyFont="1" applyBorder="1" applyAlignment="1">
      <alignment horizontal="center" vertical="center"/>
    </xf>
    <xf numFmtId="0" fontId="3" fillId="0" borderId="120" xfId="0" applyFont="1" applyBorder="1" applyAlignment="1">
      <alignment horizontal="center" vertical="center"/>
    </xf>
    <xf numFmtId="0" fontId="16" fillId="0" borderId="120" xfId="0" applyFont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2" fillId="6" borderId="17" xfId="0" applyFont="1" applyFill="1" applyBorder="1" applyAlignment="1">
      <alignment horizontal="center" vertical="center"/>
    </xf>
    <xf numFmtId="0" fontId="6" fillId="0" borderId="18" xfId="0" applyFont="1" applyBorder="1"/>
    <xf numFmtId="0" fontId="6" fillId="0" borderId="19" xfId="0" applyFont="1" applyBorder="1"/>
    <xf numFmtId="0" fontId="16" fillId="10" borderId="24" xfId="0" applyFont="1" applyFill="1" applyBorder="1" applyAlignment="1">
      <alignment horizontal="center" wrapText="1"/>
    </xf>
    <xf numFmtId="0" fontId="6" fillId="0" borderId="25" xfId="0" applyFont="1" applyBorder="1"/>
    <xf numFmtId="0" fontId="6" fillId="0" borderId="26" xfId="0" applyFont="1" applyBorder="1"/>
    <xf numFmtId="0" fontId="23" fillId="13" borderId="34" xfId="0" applyFont="1" applyFill="1" applyBorder="1" applyAlignment="1">
      <alignment horizontal="center" vertical="center"/>
    </xf>
    <xf numFmtId="0" fontId="6" fillId="0" borderId="35" xfId="0" applyFont="1" applyBorder="1"/>
    <xf numFmtId="0" fontId="5" fillId="5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164" fontId="7" fillId="5" borderId="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wrapText="1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2" fontId="8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2" fontId="10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/>
    <xf numFmtId="0" fontId="6" fillId="0" borderId="15" xfId="0" applyFont="1" applyBorder="1"/>
    <xf numFmtId="0" fontId="1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2" borderId="43" xfId="0" applyFont="1" applyFill="1" applyBorder="1" applyAlignment="1">
      <alignment horizontal="center" wrapText="1"/>
    </xf>
    <xf numFmtId="0" fontId="6" fillId="0" borderId="51" xfId="0" applyFont="1" applyBorder="1"/>
    <xf numFmtId="0" fontId="14" fillId="14" borderId="41" xfId="0" applyFont="1" applyFill="1" applyBorder="1" applyAlignment="1">
      <alignment horizontal="center" shrinkToFit="1"/>
    </xf>
    <xf numFmtId="0" fontId="6" fillId="0" borderId="52" xfId="0" applyFont="1" applyBorder="1"/>
    <xf numFmtId="0" fontId="29" fillId="12" borderId="41" xfId="0" applyFont="1" applyFill="1" applyBorder="1" applyAlignment="1">
      <alignment horizontal="center" shrinkToFit="1"/>
    </xf>
    <xf numFmtId="0" fontId="18" fillId="2" borderId="42" xfId="0" applyFont="1" applyFill="1" applyBorder="1" applyAlignment="1">
      <alignment horizontal="center" wrapText="1"/>
    </xf>
    <xf numFmtId="0" fontId="6" fillId="0" borderId="50" xfId="0" applyFont="1" applyBorder="1"/>
    <xf numFmtId="0" fontId="18" fillId="15" borderId="3" xfId="0" applyFont="1" applyFill="1" applyBorder="1" applyAlignment="1">
      <alignment horizontal="center"/>
    </xf>
    <xf numFmtId="0" fontId="18" fillId="16" borderId="3" xfId="0" applyFont="1" applyFill="1" applyBorder="1" applyAlignment="1">
      <alignment horizontal="center"/>
    </xf>
    <xf numFmtId="0" fontId="18" fillId="17" borderId="44" xfId="0" applyFont="1" applyFill="1" applyBorder="1" applyAlignment="1">
      <alignment horizontal="center"/>
    </xf>
    <xf numFmtId="0" fontId="6" fillId="0" borderId="45" xfId="0" applyFont="1" applyBorder="1"/>
    <xf numFmtId="0" fontId="14" fillId="14" borderId="48" xfId="0" applyFont="1" applyFill="1" applyBorder="1" applyAlignment="1">
      <alignment horizontal="center" shrinkToFit="1"/>
    </xf>
    <xf numFmtId="0" fontId="6" fillId="0" borderId="61" xfId="0" applyFont="1" applyBorder="1"/>
    <xf numFmtId="0" fontId="14" fillId="12" borderId="48" xfId="0" applyFont="1" applyFill="1" applyBorder="1" applyAlignment="1">
      <alignment horizontal="center" wrapText="1"/>
    </xf>
    <xf numFmtId="0" fontId="14" fillId="3" borderId="48" xfId="0" applyFont="1" applyFill="1" applyBorder="1" applyAlignment="1">
      <alignment horizontal="center" vertical="center"/>
    </xf>
    <xf numFmtId="2" fontId="25" fillId="0" borderId="3" xfId="0" applyNumberFormat="1" applyFont="1" applyBorder="1" applyAlignment="1">
      <alignment horizontal="center" vertical="center" wrapText="1"/>
    </xf>
    <xf numFmtId="0" fontId="27" fillId="13" borderId="13" xfId="0" applyFont="1" applyFill="1" applyBorder="1" applyAlignment="1">
      <alignment horizontal="center" wrapText="1"/>
    </xf>
    <xf numFmtId="0" fontId="6" fillId="0" borderId="46" xfId="0" applyFont="1" applyBorder="1"/>
    <xf numFmtId="0" fontId="6" fillId="0" borderId="47" xfId="0" applyFont="1" applyBorder="1"/>
    <xf numFmtId="0" fontId="22" fillId="3" borderId="3" xfId="0" applyFont="1" applyFill="1" applyBorder="1" applyAlignment="1">
      <alignment horizontal="right" vertical="center"/>
    </xf>
    <xf numFmtId="0" fontId="22" fillId="3" borderId="40" xfId="0" applyFont="1" applyFill="1" applyBorder="1" applyAlignment="1">
      <alignment horizontal="left" vertical="center" wrapText="1"/>
    </xf>
    <xf numFmtId="0" fontId="3" fillId="12" borderId="41" xfId="0" applyFont="1" applyFill="1" applyBorder="1" applyAlignment="1">
      <alignment horizontal="center" wrapText="1"/>
    </xf>
    <xf numFmtId="0" fontId="6" fillId="0" borderId="49" xfId="0" applyFont="1" applyBorder="1"/>
    <xf numFmtId="0" fontId="28" fillId="12" borderId="41" xfId="0" applyFont="1" applyFill="1" applyBorder="1" applyAlignment="1">
      <alignment horizontal="center" wrapText="1"/>
    </xf>
    <xf numFmtId="0" fontId="35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2" fontId="3" fillId="22" borderId="3" xfId="0" applyNumberFormat="1" applyFont="1" applyFill="1" applyBorder="1" applyAlignment="1">
      <alignment horizontal="center" vertical="center"/>
    </xf>
    <xf numFmtId="2" fontId="3" fillId="22" borderId="84" xfId="0" applyNumberFormat="1" applyFont="1" applyFill="1" applyBorder="1" applyAlignment="1">
      <alignment horizontal="center"/>
    </xf>
    <xf numFmtId="0" fontId="6" fillId="0" borderId="85" xfId="0" applyFont="1" applyBorder="1"/>
    <xf numFmtId="2" fontId="8" fillId="0" borderId="0" xfId="0" applyNumberFormat="1" applyFont="1" applyAlignment="1">
      <alignment horizontal="center"/>
    </xf>
    <xf numFmtId="0" fontId="56" fillId="0" borderId="3" xfId="0" applyFont="1" applyBorder="1" applyAlignment="1">
      <alignment horizontal="center"/>
    </xf>
    <xf numFmtId="0" fontId="37" fillId="17" borderId="42" xfId="0" applyFont="1" applyFill="1" applyBorder="1" applyAlignment="1">
      <alignment horizontal="center" vertical="center" shrinkToFit="1"/>
    </xf>
    <xf numFmtId="0" fontId="6" fillId="0" borderId="108" xfId="0" applyFont="1" applyBorder="1"/>
    <xf numFmtId="0" fontId="37" fillId="17" borderId="105" xfId="0" applyFont="1" applyFill="1" applyBorder="1" applyAlignment="1">
      <alignment horizontal="center" vertical="center" shrinkToFit="1"/>
    </xf>
    <xf numFmtId="0" fontId="6" fillId="0" borderId="109" xfId="0" applyFont="1" applyBorder="1"/>
    <xf numFmtId="0" fontId="28" fillId="27" borderId="42" xfId="0" applyFont="1" applyFill="1" applyBorder="1" applyAlignment="1">
      <alignment horizontal="center" vertical="center" shrinkToFit="1"/>
    </xf>
    <xf numFmtId="0" fontId="37" fillId="27" borderId="43" xfId="0" applyFont="1" applyFill="1" applyBorder="1" applyAlignment="1">
      <alignment horizontal="center" vertical="center" shrinkToFit="1"/>
    </xf>
    <xf numFmtId="0" fontId="6" fillId="0" borderId="110" xfId="0" applyFont="1" applyBorder="1"/>
    <xf numFmtId="0" fontId="57" fillId="28" borderId="106" xfId="0" applyFont="1" applyFill="1" applyBorder="1" applyAlignment="1">
      <alignment horizontal="center"/>
    </xf>
    <xf numFmtId="0" fontId="6" fillId="0" borderId="107" xfId="0" applyFont="1" applyBorder="1"/>
    <xf numFmtId="0" fontId="22" fillId="0" borderId="3" xfId="0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0" fontId="22" fillId="10" borderId="41" xfId="0" applyFont="1" applyFill="1" applyBorder="1" applyAlignment="1">
      <alignment horizontal="center" vertical="center"/>
    </xf>
    <xf numFmtId="0" fontId="14" fillId="29" borderId="83" xfId="0" applyFont="1" applyFill="1" applyBorder="1" applyAlignment="1">
      <alignment horizontal="center"/>
    </xf>
    <xf numFmtId="0" fontId="6" fillId="0" borderId="116" xfId="0" applyFont="1" applyBorder="1"/>
    <xf numFmtId="0" fontId="14" fillId="11" borderId="83" xfId="0" applyFont="1" applyFill="1" applyBorder="1" applyAlignment="1">
      <alignment horizontal="center" vertical="center"/>
    </xf>
    <xf numFmtId="0" fontId="14" fillId="11" borderId="83" xfId="0" applyFont="1" applyFill="1" applyBorder="1" applyAlignment="1">
      <alignment horizontal="center"/>
    </xf>
    <xf numFmtId="0" fontId="14" fillId="29" borderId="8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7" Type="http://schemas.openxmlformats.org/officeDocument/2006/relationships/styles" Target="styles.xml" /><Relationship Id="rId2" Type="http://schemas.openxmlformats.org/officeDocument/2006/relationships/worksheet" Target="worksheets/sheet2.xml" /><Relationship Id="rId16" Type="http://schemas.openxmlformats.org/officeDocument/2006/relationships/theme" Target="theme/theme1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5" Type="http://customschemas.google.com/relationships/workbookmetadata" Target="metadata" /><Relationship Id="rId19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mpd="sng">
              <a:solidFill>
                <a:srgbClr val="666699">
                  <a:alpha val="100000"/>
                </a:srgbClr>
              </a:solidFill>
            </a:ln>
          </c:spPr>
          <c:marker>
            <c:symbol val="none"/>
          </c:marker>
          <c:cat>
            <c:numRef>
              <c:f>'генер. спирт. пара'!$B$4:$B$23</c:f>
              <c:numCache>
                <c:formatCode>0.0</c:formatCode>
                <c:ptCount val="20"/>
                <c:pt idx="0" formatCode="0.00">
                  <c:v>97.17</c:v>
                </c:pt>
                <c:pt idx="1">
                  <c:v>50</c:v>
                </c:pt>
                <c:pt idx="2">
                  <c:v>40</c:v>
                </c:pt>
                <c:pt idx="3">
                  <c:v>28</c:v>
                </c:pt>
                <c:pt idx="4">
                  <c:v>27</c:v>
                </c:pt>
                <c:pt idx="5">
                  <c:v>26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22</c:v>
                </c:pt>
                <c:pt idx="10">
                  <c:v>21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17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</c:numCache>
            </c:numRef>
          </c:cat>
          <c:val>
            <c:numRef>
              <c:f>'генер. спирт. пара'!$E$4:$E$23</c:f>
              <c:numCache>
                <c:formatCode>0.0</c:formatCode>
                <c:ptCount val="20"/>
                <c:pt idx="0">
                  <c:v>78.05989144903107</c:v>
                </c:pt>
                <c:pt idx="1">
                  <c:v>82.862937500000001</c:v>
                </c:pt>
                <c:pt idx="2">
                  <c:v>84.142140800000007</c:v>
                </c:pt>
                <c:pt idx="3">
                  <c:v>86.276482342400001</c:v>
                </c:pt>
                <c:pt idx="4">
                  <c:v>86.504398019660016</c:v>
                </c:pt>
                <c:pt idx="5">
                  <c:v>86.742804545119995</c:v>
                </c:pt>
                <c:pt idx="6">
                  <c:v>86.992437499999994</c:v>
                </c:pt>
                <c:pt idx="7">
                  <c:v>87.254072867840009</c:v>
                </c:pt>
                <c:pt idx="8">
                  <c:v>87.528528187700019</c:v>
                </c:pt>
                <c:pt idx="9">
                  <c:v>87.816663707360007</c:v>
                </c:pt>
                <c:pt idx="10">
                  <c:v>88.119383536520004</c:v>
                </c:pt>
                <c:pt idx="11">
                  <c:v>88.437636799999993</c:v>
                </c:pt>
                <c:pt idx="12">
                  <c:v>88.772418790939994</c:v>
                </c:pt>
                <c:pt idx="13">
                  <c:v>89.124772123999989</c:v>
                </c:pt>
                <c:pt idx="14">
                  <c:v>89.495787888560002</c:v>
                </c:pt>
                <c:pt idx="15">
                  <c:v>89.88660680192001</c:v>
                </c:pt>
                <c:pt idx="16">
                  <c:v>90.298420362500011</c:v>
                </c:pt>
                <c:pt idx="17">
                  <c:v>90.732472003040002</c:v>
                </c:pt>
                <c:pt idx="18">
                  <c:v>91.190058243799996</c:v>
                </c:pt>
                <c:pt idx="19">
                  <c:v>91.67252984576001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FF-2043-B70F-D02A9A1AD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260342"/>
        <c:axId val="1399881724"/>
      </c:lineChart>
      <c:catAx>
        <c:axId val="4292603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1399881724"/>
        <c:crosses val="autoZero"/>
        <c:auto val="1"/>
        <c:lblAlgn val="ctr"/>
        <c:lblOffset val="100"/>
        <c:noMultiLvlLbl val="1"/>
      </c:catAx>
      <c:valAx>
        <c:axId val="1399881724"/>
        <c:scaling>
          <c:orientation val="minMax"/>
          <c:min val="75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42926034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r>
              <a:rPr lang="ru-RU" sz="1000" b="0" i="0">
                <a:solidFill>
                  <a:srgbClr val="000000"/>
                </a:solidFill>
                <a:latin typeface="+mn-lt"/>
              </a:rPr>
              <a:t>Содержание 97,18
% спирта в отборе. 
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mpd="sng">
              <a:solidFill>
                <a:srgbClr val="993366">
                  <a:alpha val="100000"/>
                </a:srgbClr>
              </a:solidFill>
            </a:ln>
          </c:spPr>
          <c:marker>
            <c:symbol val="none"/>
          </c:marker>
          <c:cat>
            <c:numRef>
              <c:f>'генер. спирт. пара'!$B$4:$B$23</c:f>
              <c:numCache>
                <c:formatCode>0.0</c:formatCode>
                <c:ptCount val="20"/>
                <c:pt idx="0" formatCode="0.00">
                  <c:v>97.17</c:v>
                </c:pt>
                <c:pt idx="1">
                  <c:v>50</c:v>
                </c:pt>
                <c:pt idx="2">
                  <c:v>40</c:v>
                </c:pt>
                <c:pt idx="3">
                  <c:v>28</c:v>
                </c:pt>
                <c:pt idx="4">
                  <c:v>27</c:v>
                </c:pt>
                <c:pt idx="5">
                  <c:v>26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22</c:v>
                </c:pt>
                <c:pt idx="10">
                  <c:v>21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17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</c:numCache>
            </c:numRef>
          </c:cat>
          <c:val>
            <c:numRef>
              <c:f>'генер. спирт. пара'!$Q$4:$Q$23</c:f>
              <c:numCache>
                <c:formatCode>0.00</c:formatCode>
                <c:ptCount val="20"/>
                <c:pt idx="0">
                  <c:v>5.0231185382762984</c:v>
                </c:pt>
                <c:pt idx="1">
                  <c:v>3.1019062803204829</c:v>
                </c:pt>
                <c:pt idx="2">
                  <c:v>2.8959925374595046</c:v>
                </c:pt>
                <c:pt idx="3">
                  <c:v>2.5316599124101025</c:v>
                </c:pt>
                <c:pt idx="4">
                  <c:v>2.4935090374402908</c:v>
                </c:pt>
                <c:pt idx="5">
                  <c:v>2.4539246409103357</c:v>
                </c:pt>
                <c:pt idx="6">
                  <c:v>2.4128311350088265</c:v>
                </c:pt>
                <c:pt idx="7">
                  <c:v>2.3701397858660727</c:v>
                </c:pt>
                <c:pt idx="8">
                  <c:v>2.3257456255674875</c:v>
                </c:pt>
                <c:pt idx="9">
                  <c:v>2.2795238420378894</c:v>
                </c:pt>
                <c:pt idx="10">
                  <c:v>2.2313255881591982</c:v>
                </c:pt>
                <c:pt idx="11">
                  <c:v>2.1809731579570744</c:v>
                </c:pt>
                <c:pt idx="12">
                  <c:v>2.1282544927252549</c:v>
                </c:pt>
                <c:pt idx="13">
                  <c:v>2.0729170078707564</c:v>
                </c:pt>
                <c:pt idx="14">
                  <c:v>2.0146607779232131</c:v>
                </c:pt>
                <c:pt idx="15">
                  <c:v>1.9531311902496151</c:v>
                </c:pt>
                <c:pt idx="16">
                  <c:v>1.8879112872181152</c:v>
                </c:pt>
                <c:pt idx="17">
                  <c:v>1.8185141733233925</c:v>
                </c:pt>
                <c:pt idx="18">
                  <c:v>1.7443760806007633</c:v>
                </c:pt>
                <c:pt idx="19">
                  <c:v>1.6648509742983388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56-1C45-959B-1098E0BFE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7160373"/>
        <c:axId val="783333184"/>
      </c:lineChart>
      <c:catAx>
        <c:axId val="20271603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783333184"/>
        <c:crosses val="autoZero"/>
        <c:auto val="1"/>
        <c:lblAlgn val="ctr"/>
        <c:lblOffset val="100"/>
        <c:noMultiLvlLbl val="1"/>
      </c:catAx>
      <c:valAx>
        <c:axId val="7833331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202716037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666699"/>
              </a:solidFill>
              <a:ln cmpd="sng">
                <a:solidFill>
                  <a:srgbClr val="666699"/>
                </a:solidFill>
              </a:ln>
            </c:spPr>
          </c:marker>
          <c:xVal>
            <c:numRef>
              <c:f>'генер. спирт. пара'!$AJ$6:$AJ$23</c:f>
              <c:numCache>
                <c:formatCode>General</c:formatCode>
                <c:ptCount val="18"/>
              </c:numCache>
            </c:numRef>
          </c:xVal>
          <c:yVal>
            <c:numRef>
              <c:f>'генер. спирт. пара'!$AI$6:$AI$23</c:f>
              <c:numCache>
                <c:formatCode>0.000</c:formatCode>
                <c:ptCount val="18"/>
                <c:pt idx="0">
                  <c:v>1.1844184276888166E-2</c:v>
                </c:pt>
                <c:pt idx="1">
                  <c:v>1.5120557379327014E-2</c:v>
                </c:pt>
                <c:pt idx="2">
                  <c:v>1.3905280337718129E-2</c:v>
                </c:pt>
                <c:pt idx="3">
                  <c:v>1.2765213878357828E-2</c:v>
                </c:pt>
                <c:pt idx="4">
                  <c:v>1.1655790326003402E-2</c:v>
                </c:pt>
                <c:pt idx="5">
                  <c:v>1.0581687658205517E-2</c:v>
                </c:pt>
                <c:pt idx="6">
                  <c:v>9.5468852647771722E-3</c:v>
                </c:pt>
                <c:pt idx="7">
                  <c:v>8.5550998392840086E-3</c:v>
                </c:pt>
                <c:pt idx="8">
                  <c:v>7.6097571991846089E-3</c:v>
                </c:pt>
                <c:pt idx="9">
                  <c:v>6.7139678063027992E-3</c:v>
                </c:pt>
                <c:pt idx="10">
                  <c:v>5.8705020782359807E-3</c:v>
                </c:pt>
                <c:pt idx="11">
                  <c:v>5.0817654996075066E-3</c:v>
                </c:pt>
                <c:pt idx="12">
                  <c:v>4.3497734638466307E-3</c:v>
                </c:pt>
                <c:pt idx="13">
                  <c:v>3.6761257065988148E-3</c:v>
                </c:pt>
                <c:pt idx="14">
                  <c:v>3.0619800947390384E-3</c:v>
                </c:pt>
                <c:pt idx="15">
                  <c:v>2.508025402653821E-3</c:v>
                </c:pt>
                <c:pt idx="16">
                  <c:v>2.0144525296212391E-3</c:v>
                </c:pt>
                <c:pt idx="17">
                  <c:v>1.5809233744231606E-3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E1-9245-855C-7803DF5A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293083"/>
        <c:axId val="1722514377"/>
      </c:scatterChart>
      <c:valAx>
        <c:axId val="12402930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1722514377"/>
        <c:crosses val="autoZero"/>
        <c:crossBetween val="midCat"/>
      </c:valAx>
      <c:valAx>
        <c:axId val="17225143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124029308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 /><Relationship Id="rId1" Type="http://schemas.openxmlformats.org/officeDocument/2006/relationships/chart" Target="../charts/chart1.xml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523875</xdr:colOff>
      <xdr:row>39</xdr:row>
      <xdr:rowOff>161925</xdr:rowOff>
    </xdr:from>
    <xdr:ext cx="5743575" cy="2790825"/>
    <xdr:graphicFrame macro="">
      <xdr:nvGraphicFramePr>
        <xdr:cNvPr id="1583537107" name="Chart 1" descr="Chart 0">
          <a:extLst>
            <a:ext uri="{FF2B5EF4-FFF2-40B4-BE49-F238E27FC236}">
              <a16:creationId xmlns:a16="http://schemas.microsoft.com/office/drawing/2014/main" id="{00000000-0008-0000-0100-0000D3DB6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114300</xdr:colOff>
      <xdr:row>40</xdr:row>
      <xdr:rowOff>114300</xdr:rowOff>
    </xdr:from>
    <xdr:ext cx="6010275" cy="2819400"/>
    <xdr:graphicFrame macro="">
      <xdr:nvGraphicFramePr>
        <xdr:cNvPr id="847701327" name="Chart 2" descr="Chart 1">
          <a:extLst>
            <a:ext uri="{FF2B5EF4-FFF2-40B4-BE49-F238E27FC236}">
              <a16:creationId xmlns:a16="http://schemas.microsoft.com/office/drawing/2014/main" id="{00000000-0008-0000-0100-00004FE586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486400" cy="2714625"/>
    <xdr:graphicFrame macro="">
      <xdr:nvGraphicFramePr>
        <xdr:cNvPr id="534541677" name="Chart 3" descr="Chart 0">
          <a:extLst>
            <a:ext uri="{FF2B5EF4-FFF2-40B4-BE49-F238E27FC236}">
              <a16:creationId xmlns:a16="http://schemas.microsoft.com/office/drawing/2014/main" id="{00000000-0008-0000-0700-00006D75DC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virartech.ru/flash-apps/metronome/index.php" TargetMode="External" /><Relationship Id="rId1" Type="http://schemas.openxmlformats.org/officeDocument/2006/relationships/hyperlink" Target="http://www.metronomid.ru/" TargetMode="External" 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80"/>
  </sheetPr>
  <dimension ref="A1:Q1000"/>
  <sheetViews>
    <sheetView topLeftCell="A3" workbookViewId="0"/>
  </sheetViews>
  <sheetFormatPr defaultColWidth="12.625" defaultRowHeight="15" customHeight="1" x14ac:dyDescent="0.15"/>
  <cols>
    <col min="1" max="1" width="29.66796875" customWidth="1"/>
    <col min="2" max="2" width="15.93359375" customWidth="1"/>
    <col min="3" max="3" width="21.94140625" customWidth="1"/>
    <col min="4" max="4" width="6.25" customWidth="1"/>
    <col min="5" max="5" width="13.73046875" customWidth="1"/>
    <col min="6" max="6" width="6.37109375" customWidth="1"/>
    <col min="7" max="7" width="7.72265625" customWidth="1"/>
    <col min="8" max="8" width="12.9921875" customWidth="1"/>
    <col min="9" max="9" width="8.08984375" customWidth="1"/>
    <col min="10" max="10" width="2.81640625" customWidth="1"/>
    <col min="11" max="11" width="7.23046875" customWidth="1"/>
    <col min="12" max="12" width="8.2109375" customWidth="1"/>
    <col min="13" max="13" width="7.84375" customWidth="1"/>
    <col min="14" max="14" width="3.796875" customWidth="1"/>
    <col min="15" max="17" width="7.96484375" customWidth="1"/>
    <col min="18" max="26" width="14.33984375" customWidth="1"/>
  </cols>
  <sheetData>
    <row r="1" spans="1:17" ht="39.75" customHeight="1" x14ac:dyDescent="0.2">
      <c r="A1" s="1" t="s">
        <v>0</v>
      </c>
      <c r="B1" s="2" t="s">
        <v>1</v>
      </c>
      <c r="C1" s="3" t="s">
        <v>2</v>
      </c>
      <c r="D1" s="4"/>
      <c r="E1" s="5" t="s">
        <v>3</v>
      </c>
      <c r="G1" s="316" t="s">
        <v>4</v>
      </c>
      <c r="H1" s="317"/>
      <c r="I1" s="318"/>
    </row>
    <row r="2" spans="1:17" ht="19.5" customHeight="1" x14ac:dyDescent="0.15">
      <c r="A2" s="6">
        <v>1</v>
      </c>
      <c r="B2" s="7">
        <v>230</v>
      </c>
      <c r="C2" s="8">
        <v>1</v>
      </c>
      <c r="D2" s="9"/>
      <c r="E2" s="10">
        <v>230</v>
      </c>
      <c r="G2" s="319">
        <v>45119</v>
      </c>
      <c r="H2" s="317"/>
      <c r="I2" s="318"/>
      <c r="O2" s="320" t="s">
        <v>5</v>
      </c>
      <c r="P2" s="321"/>
      <c r="Q2" s="322"/>
    </row>
    <row r="3" spans="1:17" ht="26.25" customHeight="1" x14ac:dyDescent="0.15">
      <c r="A3" s="326" t="s">
        <v>6</v>
      </c>
      <c r="B3" s="327"/>
      <c r="C3" s="327"/>
      <c r="D3" s="327"/>
      <c r="E3" s="327"/>
      <c r="G3" s="12"/>
      <c r="H3" s="12"/>
      <c r="I3" s="12"/>
      <c r="O3" s="323"/>
      <c r="P3" s="324"/>
      <c r="Q3" s="325"/>
    </row>
    <row r="4" spans="1:17" ht="24" customHeight="1" x14ac:dyDescent="0.2">
      <c r="A4" s="328" t="s">
        <v>7</v>
      </c>
      <c r="B4" s="329"/>
      <c r="C4" s="330"/>
      <c r="D4" s="11"/>
      <c r="E4" s="11"/>
      <c r="G4" s="331" t="s">
        <v>8</v>
      </c>
      <c r="H4" s="317"/>
      <c r="I4" s="318"/>
      <c r="K4" s="332" t="s">
        <v>9</v>
      </c>
      <c r="L4" s="317"/>
      <c r="M4" s="318"/>
      <c r="N4" s="13"/>
      <c r="O4" s="308">
        <v>1</v>
      </c>
      <c r="P4" s="309"/>
      <c r="Q4" s="310"/>
    </row>
    <row r="5" spans="1:17" ht="73.5" customHeight="1" x14ac:dyDescent="0.25">
      <c r="A5" s="14" t="s">
        <v>0</v>
      </c>
      <c r="B5" s="15" t="s">
        <v>10</v>
      </c>
      <c r="C5" s="16" t="s">
        <v>11</v>
      </c>
      <c r="D5" s="17">
        <f>IF(Мощ.тэна=0,"НЕТУ",(B2*B2/Мощ.тэна/1000)-((B2*B2/Мощ.тэна/1000)*B12/10000))</f>
        <v>51.683299999999996</v>
      </c>
      <c r="G5" s="18" t="s">
        <v>12</v>
      </c>
      <c r="H5" s="19" t="s">
        <v>13</v>
      </c>
      <c r="I5" s="20" t="s">
        <v>14</v>
      </c>
      <c r="K5" s="21" t="s">
        <v>15</v>
      </c>
      <c r="L5" s="22" t="s">
        <v>16</v>
      </c>
      <c r="M5" s="22" t="s">
        <v>17</v>
      </c>
      <c r="O5" s="311" t="s">
        <v>18</v>
      </c>
      <c r="P5" s="312"/>
      <c r="Q5" s="313"/>
    </row>
    <row r="6" spans="1:17" ht="16.5" customHeight="1" x14ac:dyDescent="0.2">
      <c r="A6" s="23">
        <f>Мощ.тэна</f>
        <v>1</v>
      </c>
      <c r="B6" s="23">
        <f>B7+шаг</f>
        <v>236</v>
      </c>
      <c r="C6" s="24">
        <f t="shared" ref="C6:C18" si="0">POWER((B6/B$2),2)*A6</f>
        <v>1.0528544423440456</v>
      </c>
      <c r="D6" s="25" t="str">
        <f>TEXT(шаг*E6,"+ ##0, 0V")</f>
        <v>+ 6,0V</v>
      </c>
      <c r="E6" s="26">
        <v>6</v>
      </c>
      <c r="F6" s="25" t="str">
        <f>TEXT(шаг*E6,"+ ##0, 0V")</f>
        <v>+ 6,0V</v>
      </c>
      <c r="G6" s="27">
        <f>G7+шаг</f>
        <v>236</v>
      </c>
      <c r="H6" s="28">
        <f>IF(Ом=0,"НЕТУ",Ом)</f>
        <v>45119</v>
      </c>
      <c r="I6" s="29">
        <f>IF(Ом=0,0,G6*G6/(H6+H6*(G6/10000))/1000)</f>
        <v>1.2059637766901874E-3</v>
      </c>
      <c r="K6" s="30">
        <v>30</v>
      </c>
      <c r="L6" s="31">
        <f>IF(P13=0,0,1/P13)</f>
        <v>8.5714285714285712</v>
      </c>
      <c r="M6" s="32">
        <f>K6+K7+K8+K9+K10+K11+K12</f>
        <v>80</v>
      </c>
    </row>
    <row r="7" spans="1:17" ht="15" customHeight="1" x14ac:dyDescent="0.2">
      <c r="A7" s="33">
        <f>Мощ.тэна</f>
        <v>1</v>
      </c>
      <c r="B7" s="33">
        <f>B8+шаг</f>
        <v>235</v>
      </c>
      <c r="C7" s="34">
        <f t="shared" si="0"/>
        <v>1.043950850661626</v>
      </c>
      <c r="D7" s="25" t="str">
        <f>TEXT(шаг*E7,"+ ##0, 0V")</f>
        <v>+ 5,0V</v>
      </c>
      <c r="E7" s="26">
        <v>5</v>
      </c>
      <c r="F7" s="25" t="str">
        <f>TEXT(шаг*E7,"+ ##0, 0V")</f>
        <v>+ 5,0V</v>
      </c>
      <c r="G7" s="35">
        <f>G8+шаг</f>
        <v>235</v>
      </c>
      <c r="H7" s="36">
        <f>IF(Ом=0,"НЕТУ",Ом)</f>
        <v>45119</v>
      </c>
      <c r="I7" s="37">
        <f>IF(Ом=0,0,G7*G7/(H7+H7*(G7/10000))/1000)</f>
        <v>1.195882228305492E-3</v>
      </c>
      <c r="K7" s="38">
        <v>30</v>
      </c>
      <c r="O7" s="39">
        <f t="shared" ref="O7:O13" si="1">IF(K6=0,0,1/K6)</f>
        <v>3.3333333333333333E-2</v>
      </c>
      <c r="P7" s="39"/>
    </row>
    <row r="8" spans="1:17" ht="15" customHeight="1" x14ac:dyDescent="0.2">
      <c r="A8" s="23">
        <f>Мощ.тэна</f>
        <v>1</v>
      </c>
      <c r="B8" s="23">
        <f>B9+шаг</f>
        <v>234</v>
      </c>
      <c r="C8" s="24">
        <f t="shared" si="0"/>
        <v>1.0350850661625708</v>
      </c>
      <c r="D8" s="25" t="str">
        <f>TEXT(шаг*E8,"+ ##0, 0V")</f>
        <v>+ 4,0V</v>
      </c>
      <c r="E8" s="26">
        <v>4</v>
      </c>
      <c r="F8" s="25" t="str">
        <f>TEXT(шаг*E8,"+ ##0, 0V")</f>
        <v>+ 4,0V</v>
      </c>
      <c r="G8" s="27">
        <f>G9+шаг</f>
        <v>234</v>
      </c>
      <c r="H8" s="28">
        <f>IF(Ом=0,"НЕТУ",Ом)</f>
        <v>45119</v>
      </c>
      <c r="I8" s="29">
        <f>IF(Ом=0,0,G8*G8/(H8+H8*(G8/10000))/1000)</f>
        <v>1.1858420233973328E-3</v>
      </c>
      <c r="K8" s="40">
        <v>20</v>
      </c>
      <c r="O8" s="39">
        <f t="shared" si="1"/>
        <v>3.3333333333333333E-2</v>
      </c>
      <c r="P8" s="39"/>
    </row>
    <row r="9" spans="1:17" ht="15" customHeight="1" x14ac:dyDescent="0.2">
      <c r="A9" s="33">
        <f>Мощ.тэна</f>
        <v>1</v>
      </c>
      <c r="B9" s="33">
        <f>B10+шаг</f>
        <v>233</v>
      </c>
      <c r="C9" s="34">
        <f t="shared" si="0"/>
        <v>1.0262570888468807</v>
      </c>
      <c r="D9" s="25" t="str">
        <f>TEXT(шаг*E9,"+ ##0, 0V")</f>
        <v>+ 3,0V</v>
      </c>
      <c r="E9" s="26">
        <v>3</v>
      </c>
      <c r="F9" s="25" t="str">
        <f>TEXT(шаг*E9,"+ ##0, 0V")</f>
        <v>+ 3,0V</v>
      </c>
      <c r="G9" s="35">
        <f>G10+шаг</f>
        <v>233</v>
      </c>
      <c r="H9" s="36">
        <f>IF(Ом=0,"НЕТУ",Ом)</f>
        <v>45119</v>
      </c>
      <c r="I9" s="37">
        <f>IF(Ом=0,0,G9*G9/(H9+H9*(G9/10000))/1000)</f>
        <v>1.1758431740863423E-3</v>
      </c>
      <c r="K9" s="38">
        <v>0</v>
      </c>
      <c r="M9" s="39"/>
      <c r="O9" s="39">
        <f t="shared" si="1"/>
        <v>0.05</v>
      </c>
      <c r="P9" s="39"/>
    </row>
    <row r="10" spans="1:17" ht="15" customHeight="1" x14ac:dyDescent="0.2">
      <c r="A10" s="23">
        <f>Мощ.тэна</f>
        <v>1</v>
      </c>
      <c r="B10" s="23">
        <f>B11+шаг</f>
        <v>232</v>
      </c>
      <c r="C10" s="24">
        <f t="shared" si="0"/>
        <v>1.0174669187145557</v>
      </c>
      <c r="D10" s="25" t="str">
        <f>TEXT(шаг*E10,"+ ##0, 0V")</f>
        <v>+ 2,0V</v>
      </c>
      <c r="E10" s="26">
        <v>2</v>
      </c>
      <c r="F10" s="25" t="str">
        <f>TEXT(шаг*E10,"+ ##0, 0V")</f>
        <v>+ 2,0V</v>
      </c>
      <c r="G10" s="27">
        <f>G11+шаг</f>
        <v>232</v>
      </c>
      <c r="H10" s="28">
        <f>IF(Ом=0,"НЕТУ",Ом)</f>
        <v>45119</v>
      </c>
      <c r="I10" s="29">
        <f>IF(Ом=0,0,G10*G10/(H10+H10*(G10/10000))/1000)</f>
        <v>1.165885692497891E-3</v>
      </c>
      <c r="K10" s="40">
        <v>0</v>
      </c>
      <c r="M10" s="39"/>
      <c r="O10" s="39">
        <f t="shared" si="1"/>
        <v>0</v>
      </c>
      <c r="P10" s="39"/>
    </row>
    <row r="11" spans="1:17" ht="15.75" customHeight="1" x14ac:dyDescent="0.2">
      <c r="A11" s="33">
        <f>Мощ.тэна</f>
        <v>1</v>
      </c>
      <c r="B11" s="33">
        <f>B12+шаг</f>
        <v>231</v>
      </c>
      <c r="C11" s="34">
        <f t="shared" si="0"/>
        <v>1.0087145557655954</v>
      </c>
      <c r="D11" s="25" t="str">
        <f>TEXT(шаг*E11,"+ ##0, 0V")</f>
        <v>+ 1,0V</v>
      </c>
      <c r="E11" s="26">
        <v>1</v>
      </c>
      <c r="F11" s="25" t="str">
        <f>TEXT(шаг*E11,"+ ##0, 0V")</f>
        <v>+ 1,0V</v>
      </c>
      <c r="G11" s="35">
        <f>G12+шаг</f>
        <v>231</v>
      </c>
      <c r="H11" s="36">
        <f>IF(Ом=0,"НЕТУ",Ом)</f>
        <v>45119</v>
      </c>
      <c r="I11" s="37">
        <f>IF(Ом=0,0,G11*G11/(H11+H11*(G11/10000))/1000)</f>
        <v>1.1559695907620907E-3</v>
      </c>
      <c r="K11" s="38">
        <v>0</v>
      </c>
      <c r="O11" s="39">
        <f t="shared" si="1"/>
        <v>0</v>
      </c>
      <c r="P11" s="39"/>
    </row>
    <row r="12" spans="1:17" ht="18" customHeight="1" x14ac:dyDescent="0.25">
      <c r="A12" s="41">
        <f>Мощ.тэна</f>
        <v>1</v>
      </c>
      <c r="B12" s="42">
        <f>вольт</f>
        <v>230</v>
      </c>
      <c r="C12" s="43">
        <f t="shared" si="0"/>
        <v>1</v>
      </c>
      <c r="D12" s="314" t="str">
        <f>TEXT(D5,"##,00om")</f>
        <v>51,68om</v>
      </c>
      <c r="E12" s="315"/>
      <c r="F12" s="44"/>
      <c r="G12" s="45">
        <f>вольт</f>
        <v>230</v>
      </c>
      <c r="H12" s="46">
        <f>IF(Ом=0,"НЕТУ",Ом)</f>
        <v>45119</v>
      </c>
      <c r="I12" s="47">
        <f>IF(Ом=0,0,G12*G12/(H12+H12*(G12/10000))/1000)</f>
        <v>1.1460948810137943E-3</v>
      </c>
      <c r="K12" s="40">
        <v>0</v>
      </c>
      <c r="O12" s="39">
        <f t="shared" si="1"/>
        <v>0</v>
      </c>
      <c r="P12" s="39"/>
    </row>
    <row r="13" spans="1:17" ht="15" customHeight="1" x14ac:dyDescent="0.2">
      <c r="A13" s="33">
        <f>Мощ.тэна</f>
        <v>1</v>
      </c>
      <c r="B13" s="33">
        <f>B12-шаг</f>
        <v>229</v>
      </c>
      <c r="C13" s="34">
        <f t="shared" si="0"/>
        <v>0.99132325141776945</v>
      </c>
      <c r="D13" s="25" t="str">
        <f>TEXT(шаг*E13,"- ##0, 0V")</f>
        <v>- 1,0V</v>
      </c>
      <c r="E13" s="48">
        <v>1</v>
      </c>
      <c r="F13" s="25" t="str">
        <f>TEXT(шаг*E13,"- ##0, 0V")</f>
        <v>- 1,0V</v>
      </c>
      <c r="G13" s="35">
        <f>G12-шаг</f>
        <v>229</v>
      </c>
      <c r="H13" s="36">
        <f>IF(Ом=0,"НЕТУ",Ом)</f>
        <v>45119</v>
      </c>
      <c r="I13" s="37">
        <f>IF(Ом=0,0,G13*G13/(H13+H13*(G13/10000))/1000)</f>
        <v>1.1362615753926022E-3</v>
      </c>
      <c r="O13" s="39">
        <f t="shared" si="1"/>
        <v>0</v>
      </c>
      <c r="P13" s="39">
        <f>O7+O8+O9+O10+O11+O12+O13</f>
        <v>0.11666666666666667</v>
      </c>
    </row>
    <row r="14" spans="1:17" ht="15" customHeight="1" x14ac:dyDescent="0.2">
      <c r="A14" s="23">
        <f>Мощ.тэна</f>
        <v>1</v>
      </c>
      <c r="B14" s="23">
        <f>B13-шаг</f>
        <v>228</v>
      </c>
      <c r="C14" s="24">
        <f t="shared" si="0"/>
        <v>0.98268431001890366</v>
      </c>
      <c r="D14" s="25" t="str">
        <f>TEXT(шаг*E14,"- ##0, 0V")</f>
        <v>- 2,0V</v>
      </c>
      <c r="E14" s="26">
        <v>2</v>
      </c>
      <c r="F14" s="25" t="str">
        <f>TEXT(шаг*E14,"- ##0, 0V")</f>
        <v>- 2,0V</v>
      </c>
      <c r="G14" s="27">
        <f>G13-шаг</f>
        <v>228</v>
      </c>
      <c r="H14" s="28">
        <f>IF(Ом=0,"НЕТУ",Ом)</f>
        <v>45119</v>
      </c>
      <c r="I14" s="29">
        <f>IF(Ом=0,0,G14*G14/(H14+H14*(G14/10000))/1000)</f>
        <v>1.1264696860428611E-3</v>
      </c>
      <c r="O14" s="39"/>
      <c r="P14" s="39"/>
    </row>
    <row r="15" spans="1:17" ht="15" customHeight="1" x14ac:dyDescent="0.2">
      <c r="A15" s="33">
        <f>Мощ.тэна</f>
        <v>1</v>
      </c>
      <c r="B15" s="33">
        <f>B14-шаг</f>
        <v>227</v>
      </c>
      <c r="C15" s="34">
        <f t="shared" si="0"/>
        <v>0.97408317580340253</v>
      </c>
      <c r="D15" s="25" t="str">
        <f>TEXT(шаг*E15,"- ##0, 0V")</f>
        <v>- 3,0V</v>
      </c>
      <c r="E15" s="26">
        <v>3</v>
      </c>
      <c r="F15" s="25" t="str">
        <f>TEXT(шаг*E15,"- ##0, 0V")</f>
        <v>- 3,0V</v>
      </c>
      <c r="G15" s="35">
        <f>G14-шаг</f>
        <v>227</v>
      </c>
      <c r="H15" s="36">
        <f>IF(Ом=0,"НЕТУ",Ом)</f>
        <v>45119</v>
      </c>
      <c r="I15" s="37">
        <f>IF(Ом=0,0,G15*G15/(H15+H15*(G15/10000))/1000)</f>
        <v>1.1167192251136679E-3</v>
      </c>
    </row>
    <row r="16" spans="1:17" ht="15" customHeight="1" x14ac:dyDescent="0.2">
      <c r="A16" s="23">
        <f>Мощ.тэна</f>
        <v>1</v>
      </c>
      <c r="B16" s="23">
        <f>B15-шаг</f>
        <v>226</v>
      </c>
      <c r="C16" s="24">
        <f t="shared" si="0"/>
        <v>0.96551984877126651</v>
      </c>
      <c r="D16" s="25" t="str">
        <f>TEXT(шаг*E16,"- ##0, 0V")</f>
        <v>- 4,0V</v>
      </c>
      <c r="E16" s="26">
        <v>4</v>
      </c>
      <c r="F16" s="25" t="str">
        <f>TEXT(шаг*E16,"- ##0, 0V")</f>
        <v>- 4,0V</v>
      </c>
      <c r="G16" s="27">
        <f>G15-шаг</f>
        <v>226</v>
      </c>
      <c r="H16" s="28">
        <f>IF(Ом=0,"НЕТУ",Ом)</f>
        <v>45119</v>
      </c>
      <c r="I16" s="29">
        <f>IF(Ом=0,0,G16*G16/(H16+H16*(G16/10000))/1000)</f>
        <v>1.1070102047588718E-3</v>
      </c>
    </row>
    <row r="17" spans="1:9" ht="15" customHeight="1" x14ac:dyDescent="0.2">
      <c r="A17" s="33">
        <f>Мощ.тэна</f>
        <v>1</v>
      </c>
      <c r="B17" s="33">
        <f>B16-шаг</f>
        <v>225</v>
      </c>
      <c r="C17" s="34">
        <f t="shared" si="0"/>
        <v>0.95699432892249525</v>
      </c>
      <c r="D17" s="25" t="str">
        <f>TEXT(шаг*E17,"- ##0, 0V")</f>
        <v>- 5,0V</v>
      </c>
      <c r="E17" s="26">
        <v>5</v>
      </c>
      <c r="F17" s="25" t="str">
        <f>TEXT(шаг*E17,"- ##0, 0V")</f>
        <v>- 5,0V</v>
      </c>
      <c r="G17" s="35">
        <f>G16-шаг</f>
        <v>225</v>
      </c>
      <c r="H17" s="36">
        <f>IF(Ом=0,"НЕТУ",Ом)</f>
        <v>45119</v>
      </c>
      <c r="I17" s="37">
        <f>IF(Ом=0,0,G17*G17/(H17+H17*(G17/10000))/1000)</f>
        <v>1.0973426371370769E-3</v>
      </c>
    </row>
    <row r="18" spans="1:9" ht="15" customHeight="1" x14ac:dyDescent="0.2">
      <c r="A18" s="23">
        <f>Мощ.тэна</f>
        <v>1</v>
      </c>
      <c r="B18" s="23">
        <f>B17-шаг</f>
        <v>224</v>
      </c>
      <c r="C18" s="24">
        <f t="shared" si="0"/>
        <v>0.94850661625708887</v>
      </c>
      <c r="D18" s="25" t="str">
        <f>TEXT(шаг*E18,"- ##0, 0V")</f>
        <v>- 6,0V</v>
      </c>
      <c r="E18" s="26">
        <v>6</v>
      </c>
      <c r="F18" s="25" t="str">
        <f>TEXT(шаг*E18,"- ##0, 0V")</f>
        <v>- 6,0V</v>
      </c>
      <c r="G18" s="27">
        <f>G17-шаг</f>
        <v>224</v>
      </c>
      <c r="H18" s="28">
        <f>IF(Ом=0,"НЕТУ",Ом)</f>
        <v>45119</v>
      </c>
      <c r="I18" s="29">
        <f>IF(Ом=0,0,G18*G18/(H18+H18*(G18/10000))/1000)</f>
        <v>1.0877165344116433E-3</v>
      </c>
    </row>
    <row r="19" spans="1:9" ht="14.25" customHeight="1" x14ac:dyDescent="0.2">
      <c r="D19" s="39"/>
    </row>
    <row r="20" spans="1:9" ht="14.25" customHeight="1" x14ac:dyDescent="0.2">
      <c r="D20" s="39"/>
    </row>
    <row r="21" spans="1:9" ht="14.25" customHeight="1" x14ac:dyDescent="0.2">
      <c r="D21" s="39"/>
    </row>
    <row r="22" spans="1:9" ht="14.25" customHeight="1" x14ac:dyDescent="0.2">
      <c r="D22" s="39"/>
    </row>
    <row r="23" spans="1:9" ht="14.25" customHeight="1" x14ac:dyDescent="0.2">
      <c r="D23" s="39"/>
    </row>
    <row r="24" spans="1:9" ht="14.25" customHeight="1" x14ac:dyDescent="0.2">
      <c r="D24" s="39"/>
    </row>
    <row r="25" spans="1:9" ht="14.25" customHeight="1" x14ac:dyDescent="0.2">
      <c r="D25" s="39"/>
    </row>
    <row r="26" spans="1:9" ht="14.25" customHeight="1" x14ac:dyDescent="0.2">
      <c r="D26" s="39"/>
    </row>
    <row r="27" spans="1:9" ht="14.25" customHeight="1" x14ac:dyDescent="0.2">
      <c r="D27" s="39"/>
    </row>
    <row r="28" spans="1:9" ht="14.25" customHeight="1" x14ac:dyDescent="0.2">
      <c r="D28" s="39"/>
    </row>
    <row r="29" spans="1:9" ht="14.25" customHeight="1" x14ac:dyDescent="0.2">
      <c r="D29" s="39"/>
    </row>
    <row r="30" spans="1:9" ht="14.25" customHeight="1" x14ac:dyDescent="0.2">
      <c r="D30" s="39"/>
    </row>
    <row r="31" spans="1:9" ht="14.25" customHeight="1" x14ac:dyDescent="0.2">
      <c r="D31" s="39"/>
    </row>
    <row r="32" spans="1:9" ht="14.25" customHeight="1" x14ac:dyDescent="0.2">
      <c r="D32" s="39"/>
    </row>
    <row r="33" spans="4:4" ht="14.25" customHeight="1" x14ac:dyDescent="0.2">
      <c r="D33" s="39"/>
    </row>
    <row r="34" spans="4:4" ht="14.25" customHeight="1" x14ac:dyDescent="0.2">
      <c r="D34" s="39"/>
    </row>
    <row r="35" spans="4:4" ht="14.25" customHeight="1" x14ac:dyDescent="0.2">
      <c r="D35" s="39"/>
    </row>
    <row r="36" spans="4:4" ht="14.25" customHeight="1" x14ac:dyDescent="0.2">
      <c r="D36" s="39"/>
    </row>
    <row r="37" spans="4:4" ht="14.25" customHeight="1" x14ac:dyDescent="0.2">
      <c r="D37" s="39"/>
    </row>
    <row r="38" spans="4:4" ht="14.25" customHeight="1" x14ac:dyDescent="0.2">
      <c r="D38" s="39"/>
    </row>
    <row r="39" spans="4:4" ht="14.25" customHeight="1" x14ac:dyDescent="0.2">
      <c r="D39" s="39"/>
    </row>
    <row r="40" spans="4:4" ht="14.25" customHeight="1" x14ac:dyDescent="0.2">
      <c r="D40" s="39"/>
    </row>
    <row r="41" spans="4:4" ht="14.25" customHeight="1" x14ac:dyDescent="0.2">
      <c r="D41" s="39"/>
    </row>
    <row r="42" spans="4:4" ht="14.25" customHeight="1" x14ac:dyDescent="0.2">
      <c r="D42" s="39"/>
    </row>
    <row r="43" spans="4:4" ht="14.25" customHeight="1" x14ac:dyDescent="0.2">
      <c r="D43" s="39"/>
    </row>
    <row r="44" spans="4:4" ht="14.25" customHeight="1" x14ac:dyDescent="0.2">
      <c r="D44" s="39"/>
    </row>
    <row r="45" spans="4:4" ht="14.25" customHeight="1" x14ac:dyDescent="0.2">
      <c r="D45" s="39"/>
    </row>
    <row r="46" spans="4:4" ht="14.25" customHeight="1" x14ac:dyDescent="0.2">
      <c r="D46" s="39"/>
    </row>
    <row r="47" spans="4:4" ht="14.25" customHeight="1" x14ac:dyDescent="0.2">
      <c r="D47" s="39"/>
    </row>
    <row r="48" spans="4:4" ht="14.25" customHeight="1" x14ac:dyDescent="0.2">
      <c r="D48" s="39"/>
    </row>
    <row r="49" spans="4:4" ht="14.25" customHeight="1" x14ac:dyDescent="0.2">
      <c r="D49" s="39"/>
    </row>
    <row r="50" spans="4:4" ht="14.25" customHeight="1" x14ac:dyDescent="0.2">
      <c r="D50" s="39"/>
    </row>
    <row r="51" spans="4:4" ht="14.25" customHeight="1" x14ac:dyDescent="0.2">
      <c r="D51" s="39"/>
    </row>
    <row r="52" spans="4:4" ht="14.25" customHeight="1" x14ac:dyDescent="0.2">
      <c r="D52" s="39"/>
    </row>
    <row r="53" spans="4:4" ht="14.25" customHeight="1" x14ac:dyDescent="0.2">
      <c r="D53" s="39"/>
    </row>
    <row r="54" spans="4:4" ht="14.25" customHeight="1" x14ac:dyDescent="0.2">
      <c r="D54" s="39"/>
    </row>
    <row r="55" spans="4:4" ht="14.25" customHeight="1" x14ac:dyDescent="0.2">
      <c r="D55" s="39"/>
    </row>
    <row r="56" spans="4:4" ht="14.25" customHeight="1" x14ac:dyDescent="0.2">
      <c r="D56" s="39"/>
    </row>
    <row r="57" spans="4:4" ht="14.25" customHeight="1" x14ac:dyDescent="0.2">
      <c r="D57" s="39"/>
    </row>
    <row r="58" spans="4:4" ht="14.25" customHeight="1" x14ac:dyDescent="0.2">
      <c r="D58" s="39"/>
    </row>
    <row r="59" spans="4:4" ht="14.25" customHeight="1" x14ac:dyDescent="0.2">
      <c r="D59" s="39"/>
    </row>
    <row r="60" spans="4:4" ht="14.25" customHeight="1" x14ac:dyDescent="0.2">
      <c r="D60" s="39"/>
    </row>
    <row r="61" spans="4:4" ht="14.25" customHeight="1" x14ac:dyDescent="0.2">
      <c r="D61" s="39"/>
    </row>
    <row r="62" spans="4:4" ht="14.25" customHeight="1" x14ac:dyDescent="0.2">
      <c r="D62" s="39"/>
    </row>
    <row r="63" spans="4:4" ht="14.25" customHeight="1" x14ac:dyDescent="0.2">
      <c r="D63" s="39"/>
    </row>
    <row r="64" spans="4:4" ht="14.25" customHeight="1" x14ac:dyDescent="0.2">
      <c r="D64" s="39"/>
    </row>
    <row r="65" spans="4:4" ht="14.25" customHeight="1" x14ac:dyDescent="0.2">
      <c r="D65" s="39"/>
    </row>
    <row r="66" spans="4:4" ht="14.25" customHeight="1" x14ac:dyDescent="0.2">
      <c r="D66" s="39"/>
    </row>
    <row r="67" spans="4:4" ht="14.25" customHeight="1" x14ac:dyDescent="0.2">
      <c r="D67" s="39"/>
    </row>
    <row r="68" spans="4:4" ht="14.25" customHeight="1" x14ac:dyDescent="0.2">
      <c r="D68" s="39"/>
    </row>
    <row r="69" spans="4:4" ht="14.25" customHeight="1" x14ac:dyDescent="0.2">
      <c r="D69" s="39"/>
    </row>
    <row r="70" spans="4:4" ht="14.25" customHeight="1" x14ac:dyDescent="0.2">
      <c r="D70" s="39"/>
    </row>
    <row r="71" spans="4:4" ht="14.25" customHeight="1" x14ac:dyDescent="0.2">
      <c r="D71" s="39"/>
    </row>
    <row r="72" spans="4:4" ht="14.25" customHeight="1" x14ac:dyDescent="0.2">
      <c r="D72" s="39"/>
    </row>
    <row r="73" spans="4:4" ht="14.25" customHeight="1" x14ac:dyDescent="0.2">
      <c r="D73" s="39"/>
    </row>
    <row r="74" spans="4:4" ht="14.25" customHeight="1" x14ac:dyDescent="0.2">
      <c r="D74" s="39"/>
    </row>
    <row r="75" spans="4:4" ht="14.25" customHeight="1" x14ac:dyDescent="0.2">
      <c r="D75" s="39"/>
    </row>
    <row r="76" spans="4:4" ht="14.25" customHeight="1" x14ac:dyDescent="0.2">
      <c r="D76" s="39"/>
    </row>
    <row r="77" spans="4:4" ht="14.25" customHeight="1" x14ac:dyDescent="0.2">
      <c r="D77" s="39"/>
    </row>
    <row r="78" spans="4:4" ht="14.25" customHeight="1" x14ac:dyDescent="0.2">
      <c r="D78" s="39"/>
    </row>
    <row r="79" spans="4:4" ht="14.25" customHeight="1" x14ac:dyDescent="0.2">
      <c r="D79" s="39"/>
    </row>
    <row r="80" spans="4:4" ht="14.25" customHeight="1" x14ac:dyDescent="0.2">
      <c r="D80" s="39"/>
    </row>
    <row r="81" spans="4:4" ht="14.25" customHeight="1" x14ac:dyDescent="0.2">
      <c r="D81" s="39"/>
    </row>
    <row r="82" spans="4:4" ht="14.25" customHeight="1" x14ac:dyDescent="0.2">
      <c r="D82" s="39"/>
    </row>
    <row r="83" spans="4:4" ht="14.25" customHeight="1" x14ac:dyDescent="0.2">
      <c r="D83" s="39"/>
    </row>
    <row r="84" spans="4:4" ht="14.25" customHeight="1" x14ac:dyDescent="0.2">
      <c r="D84" s="39"/>
    </row>
    <row r="85" spans="4:4" ht="14.25" customHeight="1" x14ac:dyDescent="0.2">
      <c r="D85" s="39"/>
    </row>
    <row r="86" spans="4:4" ht="14.25" customHeight="1" x14ac:dyDescent="0.2">
      <c r="D86" s="39"/>
    </row>
    <row r="87" spans="4:4" ht="14.25" customHeight="1" x14ac:dyDescent="0.2">
      <c r="D87" s="39"/>
    </row>
    <row r="88" spans="4:4" ht="14.25" customHeight="1" x14ac:dyDescent="0.2">
      <c r="D88" s="39"/>
    </row>
    <row r="89" spans="4:4" ht="14.25" customHeight="1" x14ac:dyDescent="0.2">
      <c r="D89" s="39"/>
    </row>
    <row r="90" spans="4:4" ht="14.25" customHeight="1" x14ac:dyDescent="0.2">
      <c r="D90" s="39"/>
    </row>
    <row r="91" spans="4:4" ht="14.25" customHeight="1" x14ac:dyDescent="0.2">
      <c r="D91" s="39"/>
    </row>
    <row r="92" spans="4:4" ht="14.25" customHeight="1" x14ac:dyDescent="0.2">
      <c r="D92" s="39"/>
    </row>
    <row r="93" spans="4:4" ht="14.25" customHeight="1" x14ac:dyDescent="0.2">
      <c r="D93" s="39"/>
    </row>
    <row r="94" spans="4:4" ht="14.25" customHeight="1" x14ac:dyDescent="0.2">
      <c r="D94" s="39"/>
    </row>
    <row r="95" spans="4:4" ht="14.25" customHeight="1" x14ac:dyDescent="0.2">
      <c r="D95" s="39"/>
    </row>
    <row r="96" spans="4:4" ht="14.25" customHeight="1" x14ac:dyDescent="0.2">
      <c r="D96" s="39"/>
    </row>
    <row r="97" spans="4:4" ht="14.25" customHeight="1" x14ac:dyDescent="0.2">
      <c r="D97" s="39"/>
    </row>
    <row r="98" spans="4:4" ht="14.25" customHeight="1" x14ac:dyDescent="0.2">
      <c r="D98" s="39"/>
    </row>
    <row r="99" spans="4:4" ht="14.25" customHeight="1" x14ac:dyDescent="0.2">
      <c r="D99" s="39"/>
    </row>
    <row r="100" spans="4:4" ht="14.25" customHeight="1" x14ac:dyDescent="0.2">
      <c r="D100" s="39"/>
    </row>
    <row r="101" spans="4:4" ht="15.75" customHeight="1" x14ac:dyDescent="0.15"/>
    <row r="102" spans="4:4" ht="15.75" customHeight="1" x14ac:dyDescent="0.15"/>
    <row r="103" spans="4:4" ht="15.75" customHeight="1" x14ac:dyDescent="0.15"/>
    <row r="104" spans="4:4" ht="15.75" customHeight="1" x14ac:dyDescent="0.15"/>
    <row r="105" spans="4:4" ht="15.75" customHeight="1" x14ac:dyDescent="0.15"/>
    <row r="106" spans="4:4" ht="15.75" customHeight="1" x14ac:dyDescent="0.15"/>
    <row r="107" spans="4:4" ht="15.75" customHeight="1" x14ac:dyDescent="0.15"/>
    <row r="108" spans="4:4" ht="15.75" customHeight="1" x14ac:dyDescent="0.15"/>
    <row r="109" spans="4:4" ht="15.75" customHeight="1" x14ac:dyDescent="0.15"/>
    <row r="110" spans="4:4" ht="15.75" customHeight="1" x14ac:dyDescent="0.15"/>
    <row r="111" spans="4:4" ht="15.75" customHeight="1" x14ac:dyDescent="0.15"/>
    <row r="112" spans="4:4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0">
    <mergeCell ref="O4:Q4"/>
    <mergeCell ref="O5:Q5"/>
    <mergeCell ref="D12:E12"/>
    <mergeCell ref="G1:I1"/>
    <mergeCell ref="G2:I2"/>
    <mergeCell ref="O2:Q3"/>
    <mergeCell ref="A3:E3"/>
    <mergeCell ref="A4:C4"/>
    <mergeCell ref="G4:I4"/>
    <mergeCell ref="K4:M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CCFF"/>
  </sheetPr>
  <dimension ref="A1:AJ1000"/>
  <sheetViews>
    <sheetView tabSelected="1" topLeftCell="J1" workbookViewId="0"/>
  </sheetViews>
  <sheetFormatPr defaultColWidth="12.625" defaultRowHeight="15" customHeight="1" x14ac:dyDescent="0.15"/>
  <cols>
    <col min="1" max="1" width="10.296875" customWidth="1"/>
    <col min="2" max="2" width="14.7109375" customWidth="1"/>
    <col min="3" max="3" width="11.03125" customWidth="1"/>
    <col min="4" max="4" width="12.2578125" customWidth="1"/>
    <col min="5" max="5" width="11.890625" customWidth="1"/>
    <col min="6" max="8" width="12.2578125" customWidth="1"/>
    <col min="9" max="10" width="10.78515625" customWidth="1"/>
    <col min="11" max="11" width="10.41796875" customWidth="1"/>
    <col min="12" max="12" width="7.96484375" customWidth="1"/>
    <col min="13" max="13" width="11.27734375" customWidth="1"/>
    <col min="14" max="14" width="10.296875" customWidth="1"/>
    <col min="15" max="15" width="7.96484375" customWidth="1"/>
    <col min="16" max="16" width="10.296875" customWidth="1"/>
    <col min="17" max="17" width="10.78515625" customWidth="1"/>
    <col min="18" max="18" width="5.8828125" customWidth="1"/>
    <col min="19" max="19" width="9.19140625" customWidth="1"/>
    <col min="20" max="20" width="13.8515625" customWidth="1"/>
    <col min="21" max="21" width="9.19140625" customWidth="1"/>
    <col min="22" max="22" width="11.27734375" customWidth="1"/>
    <col min="23" max="23" width="11.765625" customWidth="1"/>
    <col min="24" max="24" width="13.73046875" customWidth="1"/>
    <col min="25" max="29" width="7.96484375" customWidth="1"/>
    <col min="30" max="30" width="15.93359375" customWidth="1"/>
    <col min="31" max="31" width="16.91796875" customWidth="1"/>
    <col min="32" max="36" width="7.96484375" customWidth="1"/>
  </cols>
  <sheetData>
    <row r="1" spans="1:35" ht="29.25" customHeight="1" x14ac:dyDescent="0.2">
      <c r="A1" s="348" t="s">
        <v>6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8"/>
      <c r="N1" s="49"/>
      <c r="O1" s="50"/>
      <c r="P1" s="349" t="s">
        <v>19</v>
      </c>
      <c r="Q1" s="330"/>
      <c r="S1" s="352" t="s">
        <v>20</v>
      </c>
      <c r="T1" s="317"/>
      <c r="U1" s="353" t="str">
        <f>TEXT(A4,"##0,000кВт")</f>
        <v>1,000кВт</v>
      </c>
      <c r="V1" s="318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</row>
    <row r="2" spans="1:35" ht="33" customHeight="1" x14ac:dyDescent="0.2">
      <c r="A2" s="354" t="s">
        <v>21</v>
      </c>
      <c r="B2" s="356" t="s">
        <v>22</v>
      </c>
      <c r="C2" s="338" t="s">
        <v>23</v>
      </c>
      <c r="D2" s="333" t="s">
        <v>24</v>
      </c>
      <c r="E2" s="335" t="s">
        <v>25</v>
      </c>
      <c r="F2" s="337" t="s">
        <v>26</v>
      </c>
      <c r="G2" s="338" t="s">
        <v>27</v>
      </c>
      <c r="H2" s="333" t="s">
        <v>28</v>
      </c>
      <c r="I2" s="340" t="s">
        <v>29</v>
      </c>
      <c r="J2" s="318"/>
      <c r="K2" s="52" t="s">
        <v>30</v>
      </c>
      <c r="L2" s="341" t="s">
        <v>31</v>
      </c>
      <c r="M2" s="317"/>
      <c r="N2" s="342" t="s">
        <v>32</v>
      </c>
      <c r="O2" s="343"/>
      <c r="P2" s="350"/>
      <c r="Q2" s="351"/>
      <c r="S2" s="344" t="s">
        <v>25</v>
      </c>
      <c r="T2" s="346" t="s">
        <v>33</v>
      </c>
      <c r="U2" s="347" t="s">
        <v>34</v>
      </c>
      <c r="V2" s="347" t="s">
        <v>35</v>
      </c>
      <c r="W2" s="53" t="s">
        <v>36</v>
      </c>
      <c r="X2" s="54"/>
      <c r="Y2" s="51"/>
      <c r="Z2" s="51"/>
      <c r="AA2" s="51"/>
      <c r="AB2" s="51" t="s">
        <v>37</v>
      </c>
      <c r="AC2" s="51" t="s">
        <v>38</v>
      </c>
      <c r="AD2" s="51" t="s">
        <v>39</v>
      </c>
      <c r="AE2" s="51" t="s">
        <v>40</v>
      </c>
      <c r="AF2" s="51" t="s">
        <v>41</v>
      </c>
      <c r="AG2" s="51" t="s">
        <v>42</v>
      </c>
      <c r="AH2" s="51" t="s">
        <v>43</v>
      </c>
      <c r="AI2" s="51" t="s">
        <v>44</v>
      </c>
    </row>
    <row r="3" spans="1:35" ht="15" customHeight="1" x14ac:dyDescent="0.2">
      <c r="A3" s="355"/>
      <c r="B3" s="355"/>
      <c r="C3" s="339"/>
      <c r="D3" s="334"/>
      <c r="E3" s="336"/>
      <c r="F3" s="336"/>
      <c r="G3" s="339"/>
      <c r="H3" s="334"/>
      <c r="I3" s="55" t="s">
        <v>45</v>
      </c>
      <c r="J3" s="56" t="s">
        <v>46</v>
      </c>
      <c r="K3" s="57" t="s">
        <v>47</v>
      </c>
      <c r="L3" s="58" t="s">
        <v>48</v>
      </c>
      <c r="M3" s="59" t="s">
        <v>49</v>
      </c>
      <c r="N3" s="60" t="s">
        <v>35</v>
      </c>
      <c r="O3" s="61" t="s">
        <v>34</v>
      </c>
      <c r="P3" s="62">
        <v>1</v>
      </c>
      <c r="Q3" s="63">
        <v>0.97170000000000001</v>
      </c>
      <c r="S3" s="345"/>
      <c r="T3" s="345"/>
      <c r="U3" s="345"/>
      <c r="V3" s="345"/>
      <c r="W3" s="51"/>
      <c r="X3" s="51">
        <v>10</v>
      </c>
      <c r="Y3" s="51">
        <v>3</v>
      </c>
      <c r="Z3" s="51">
        <f>F5/100</f>
        <v>0.81626512943299812</v>
      </c>
      <c r="AA3" s="51"/>
      <c r="AB3" s="51">
        <v>0</v>
      </c>
      <c r="AC3" s="51">
        <v>0</v>
      </c>
      <c r="AD3" s="51"/>
      <c r="AE3" s="51"/>
      <c r="AF3" s="51"/>
      <c r="AG3" s="51"/>
      <c r="AH3" s="51">
        <v>0.01</v>
      </c>
      <c r="AI3" s="51">
        <v>30</v>
      </c>
    </row>
    <row r="4" spans="1:35" ht="15" customHeight="1" x14ac:dyDescent="0.2">
      <c r="A4" s="64">
        <f>Реал_Мощность</f>
        <v>1</v>
      </c>
      <c r="B4" s="65">
        <v>97.17</v>
      </c>
      <c r="C4" s="66">
        <f t="shared" ref="C4:C39" si="0">(-0.13412+0.83749*B4-0.00116*B4*B4+0.0000276728*B4*B4*B4)/100</f>
        <v>0.95681293653189181</v>
      </c>
      <c r="D4" s="67">
        <f t="shared" ref="D4:D39" si="1">((10000*C4)/(256-1.56*(C4*100))/100)</f>
        <v>0.89641952269184355</v>
      </c>
      <c r="E4" s="68">
        <f t="shared" ref="E4:E39" si="2">99.974-0.93136*B4+0.02395*B4*B4-0.000365956*B4^3+0.00000293273*B4^4-0.00000000961*B4^5</f>
        <v>78.05989144903107</v>
      </c>
      <c r="F4" s="69">
        <v>97.17</v>
      </c>
      <c r="G4" s="66">
        <f t="shared" ref="G4:G39" si="3">(-0.13412+0.83749*F4-0.00116*F4*F4+0.0000276728*F4*F4*F4)/100</f>
        <v>0.95681293653189181</v>
      </c>
      <c r="H4" s="67">
        <f t="shared" ref="H4:H39" si="4">((10000*G4)/(256-1.56*(G4*100))/100)</f>
        <v>0.89641952269184355</v>
      </c>
      <c r="I4" s="70">
        <f t="shared" ref="I4:I39" si="5">(A4*3600)/(G4*841.5+(1-G4)*2256)</f>
        <v>3.9885303106833283</v>
      </c>
      <c r="J4" s="71">
        <f t="shared" ref="J4:J39" si="6">I4/3.6</f>
        <v>1.1079250863009245</v>
      </c>
      <c r="K4" s="72">
        <f t="shared" ref="K4:K39" si="7">(((I4*(1-G4)/18)+(I4*G4/46))*8.314*10^6*(273.15+E4))/(760*133.3)</f>
        <v>2667.0165441315198</v>
      </c>
      <c r="L4" s="73">
        <f t="shared" ref="L4:L39" si="8">(I4/100*F4)/0.7893+I4/100*(100-F4)</f>
        <v>5.0231185382762984</v>
      </c>
      <c r="M4" s="74">
        <f t="shared" ref="M4:M39" si="9">L4/3.6</f>
        <v>1.3953107050767495</v>
      </c>
      <c r="N4" s="75">
        <v>0.89</v>
      </c>
      <c r="O4" s="76">
        <f t="shared" ref="O4:O39" si="10">(L4-N4)/N4</f>
        <v>4.6439534137935938</v>
      </c>
      <c r="P4" s="77">
        <f t="shared" ref="P4:P39" si="11">L4/100*F4</f>
        <v>4.8809642836430793</v>
      </c>
      <c r="Q4" s="78">
        <f t="shared" ref="Q4:Q39" si="12">L4/$F$4*F4</f>
        <v>5.0231185382762984</v>
      </c>
      <c r="S4" s="79">
        <f t="shared" ref="S4:S26" si="13">E4</f>
        <v>78.05989144903107</v>
      </c>
      <c r="T4" s="80">
        <f t="shared" ref="T4:T26" si="14">B4</f>
        <v>97.17</v>
      </c>
      <c r="U4" s="81">
        <f t="shared" ref="U4:U26" si="15">IF(B4=0,"перекрыт",32.0960539941*EXP(-B4/2.14402675871)+158.826556847*EXP(-B4/0.422530095547)+2.97156745471)</f>
        <v>2.9715674547100002</v>
      </c>
      <c r="V4" s="82">
        <f t="shared" ref="V4:V22" si="16">L$4/(1+U4)</f>
        <v>1.2647697906576489</v>
      </c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35" ht="15" customHeight="1" x14ac:dyDescent="0.2">
      <c r="A5" s="83">
        <f>Реал_Мощность</f>
        <v>1</v>
      </c>
      <c r="B5" s="84">
        <v>50</v>
      </c>
      <c r="C5" s="85">
        <f t="shared" si="0"/>
        <v>0.42299479999999995</v>
      </c>
      <c r="D5" s="86">
        <f t="shared" si="1"/>
        <v>0.22261383184040803</v>
      </c>
      <c r="E5" s="87">
        <f t="shared" si="2"/>
        <v>82.862937500000001</v>
      </c>
      <c r="F5" s="88">
        <f t="shared" ref="F5:F39" si="17">1.04749494522173*B5-0.018725730342732*B5*B5+0.00011082005414225*B5*B5*B5+43.670453012901*(1-EXP(-0.246196276366746*B5^0.966659341971092))*EXP(0.0638669100921283*B5^0.437695537197651)</f>
        <v>81.626512943299815</v>
      </c>
      <c r="G5" s="85">
        <f t="shared" si="3"/>
        <v>0.7554867688995216</v>
      </c>
      <c r="H5" s="86">
        <f t="shared" si="4"/>
        <v>0.5468832657311441</v>
      </c>
      <c r="I5" s="89">
        <f t="shared" si="5"/>
        <v>3.0319262710761286</v>
      </c>
      <c r="J5" s="90">
        <f t="shared" si="6"/>
        <v>0.84220174196559128</v>
      </c>
      <c r="K5" s="91">
        <f t="shared" si="7"/>
        <v>2658.1734430154088</v>
      </c>
      <c r="L5" s="89">
        <f t="shared" si="8"/>
        <v>3.6925775999779771</v>
      </c>
      <c r="M5" s="90">
        <f t="shared" si="9"/>
        <v>1.0257159999938825</v>
      </c>
      <c r="N5" s="92">
        <v>2</v>
      </c>
      <c r="O5" s="93">
        <f t="shared" si="10"/>
        <v>0.84628879998898854</v>
      </c>
      <c r="P5" s="94">
        <f t="shared" si="11"/>
        <v>3.0141223325874136</v>
      </c>
      <c r="Q5" s="95">
        <f t="shared" si="12"/>
        <v>3.1019062803204829</v>
      </c>
      <c r="S5" s="96">
        <f t="shared" si="13"/>
        <v>82.862937500000001</v>
      </c>
      <c r="T5" s="97">
        <f t="shared" si="14"/>
        <v>50</v>
      </c>
      <c r="U5" s="98">
        <f t="shared" si="15"/>
        <v>2.9715674571002419</v>
      </c>
      <c r="V5" s="99">
        <f t="shared" si="16"/>
        <v>1.2647697898964618</v>
      </c>
      <c r="W5" s="51">
        <v>1.2</v>
      </c>
      <c r="X5" s="51">
        <f>Y3-X3*B6/100-AB3+AC3*B6/100</f>
        <v>-1</v>
      </c>
      <c r="Y5" s="51">
        <f t="shared" ref="Y5:Y42" si="18">(F5-B5)/100</f>
        <v>0.31626512943299817</v>
      </c>
      <c r="Z5" s="51">
        <f t="shared" ref="Z5:Z42" si="19">X5/Y5</f>
        <v>-3.1619040701477439</v>
      </c>
      <c r="AA5" s="51">
        <f>Z5*Z3</f>
        <v>-2.5809520350738717</v>
      </c>
      <c r="AB5" s="51">
        <f>AA5+AB3</f>
        <v>-2.5809520350738717</v>
      </c>
      <c r="AC5" s="51">
        <f>Z5+AC3</f>
        <v>-3.1619040701477439</v>
      </c>
      <c r="AD5" s="51">
        <f>Y3-AB5</f>
        <v>5.5809520350738717</v>
      </c>
      <c r="AE5" s="51">
        <f>X3-AC5</f>
        <v>13.161904070147743</v>
      </c>
      <c r="AF5" s="51">
        <f>W5*AH3</f>
        <v>1.2E-2</v>
      </c>
      <c r="AG5" s="51">
        <f>AF5*AB5</f>
        <v>-3.0971424420886462E-2</v>
      </c>
      <c r="AH5" s="51">
        <f t="shared" ref="AH5:AH42" si="20">AI5/AD5</f>
        <v>1.0924914609139696E-2</v>
      </c>
      <c r="AI5" s="51">
        <f>AI3/1000-AG5</f>
        <v>6.0971424420886461E-2</v>
      </c>
    </row>
    <row r="6" spans="1:35" ht="15" customHeight="1" x14ac:dyDescent="0.2">
      <c r="A6" s="100">
        <f>Реал_Мощность</f>
        <v>1</v>
      </c>
      <c r="B6" s="101">
        <v>40</v>
      </c>
      <c r="C6" s="102">
        <f t="shared" si="0"/>
        <v>0.33280539199999998</v>
      </c>
      <c r="D6" s="103">
        <f t="shared" si="1"/>
        <v>0.16307406180456419</v>
      </c>
      <c r="E6" s="104">
        <f t="shared" si="2"/>
        <v>84.142140800000007</v>
      </c>
      <c r="F6" s="105">
        <f t="shared" si="17"/>
        <v>79.220478890794155</v>
      </c>
      <c r="G6" s="102">
        <f t="shared" si="3"/>
        <v>0.72690535900275011</v>
      </c>
      <c r="H6" s="103">
        <f t="shared" si="4"/>
        <v>0.50974142340279371</v>
      </c>
      <c r="I6" s="106">
        <f t="shared" si="5"/>
        <v>2.9320918494608006</v>
      </c>
      <c r="J6" s="107">
        <f t="shared" si="6"/>
        <v>0.81446995818355572</v>
      </c>
      <c r="K6" s="108">
        <f t="shared" si="7"/>
        <v>2662.9782532151557</v>
      </c>
      <c r="L6" s="109">
        <f t="shared" si="8"/>
        <v>3.5521572048668926</v>
      </c>
      <c r="M6" s="110">
        <f t="shared" si="9"/>
        <v>0.98671033468524794</v>
      </c>
      <c r="N6" s="111">
        <v>2</v>
      </c>
      <c r="O6" s="112">
        <f t="shared" si="10"/>
        <v>0.77607860243344629</v>
      </c>
      <c r="P6" s="113">
        <f t="shared" si="11"/>
        <v>2.8140359486494</v>
      </c>
      <c r="Q6" s="114">
        <f t="shared" si="12"/>
        <v>2.8959925374595046</v>
      </c>
      <c r="S6" s="79">
        <f t="shared" si="13"/>
        <v>84.142140800000007</v>
      </c>
      <c r="T6" s="115">
        <f t="shared" si="14"/>
        <v>40</v>
      </c>
      <c r="U6" s="81">
        <f t="shared" si="15"/>
        <v>2.9715677082484175</v>
      </c>
      <c r="V6" s="82">
        <f t="shared" si="16"/>
        <v>1.2647697099168043</v>
      </c>
      <c r="W6" s="51">
        <v>1.25</v>
      </c>
      <c r="X6" s="51">
        <f t="shared" ref="X6:X42" si="21">$Y$3-$X$3*B7/100-AB5+AC5*B7/100</f>
        <v>1.8956188954325035</v>
      </c>
      <c r="Y6" s="51">
        <f t="shared" si="18"/>
        <v>0.39220478890794153</v>
      </c>
      <c r="Z6" s="51">
        <f t="shared" si="19"/>
        <v>4.8332375051071699</v>
      </c>
      <c r="AA6" s="51">
        <f t="shared" ref="AA6:AA42" si="22">Z6*F7/100</f>
        <v>3.5974461605694446</v>
      </c>
      <c r="AB6" s="51">
        <f t="shared" ref="AB6:AB42" si="23">AA6+AB5</f>
        <v>1.0164941254955728</v>
      </c>
      <c r="AC6" s="51">
        <f t="shared" ref="AC6:AC42" si="24">Z6+AC5</f>
        <v>1.671333434959426</v>
      </c>
      <c r="AD6" s="51">
        <f t="shared" ref="AD6:AD42" si="25">$Y$3-AB6</f>
        <v>1.9835058745044272</v>
      </c>
      <c r="AE6" s="51">
        <f t="shared" ref="AE6:AE42" si="26">$X$3-AC6</f>
        <v>8.3286665650405745</v>
      </c>
      <c r="AF6" s="51">
        <f t="shared" ref="AF6:AF42" si="27">W6*AH5</f>
        <v>1.3656143261424621E-2</v>
      </c>
      <c r="AG6" s="51">
        <f t="shared" ref="AG6:AG42" si="28">AF6*AA6</f>
        <v>4.9127240143998295E-2</v>
      </c>
      <c r="AH6" s="51">
        <f t="shared" si="20"/>
        <v>5.9713381387627093E-3</v>
      </c>
      <c r="AI6" s="51">
        <f t="shared" ref="AI6:AI42" si="29">AI5-AG6</f>
        <v>1.1844184276888166E-2</v>
      </c>
    </row>
    <row r="7" spans="1:35" ht="15" customHeight="1" x14ac:dyDescent="0.2">
      <c r="A7" s="83">
        <f>Реал_Мощность</f>
        <v>1</v>
      </c>
      <c r="B7" s="116">
        <v>28</v>
      </c>
      <c r="C7" s="85">
        <f t="shared" si="0"/>
        <v>0.23013633305599998</v>
      </c>
      <c r="D7" s="86">
        <f t="shared" si="1"/>
        <v>0.10456049924484023</v>
      </c>
      <c r="E7" s="87">
        <f t="shared" si="2"/>
        <v>86.276482342400001</v>
      </c>
      <c r="F7" s="88">
        <f t="shared" si="17"/>
        <v>74.431396279783613</v>
      </c>
      <c r="G7" s="85">
        <f t="shared" si="3"/>
        <v>0.67185936830356607</v>
      </c>
      <c r="H7" s="86">
        <f t="shared" si="4"/>
        <v>0.44438100496031224</v>
      </c>
      <c r="I7" s="89">
        <f t="shared" si="5"/>
        <v>2.7572369506747267</v>
      </c>
      <c r="J7" s="90">
        <f t="shared" si="6"/>
        <v>0.76589915296520183</v>
      </c>
      <c r="K7" s="91">
        <f t="shared" si="7"/>
        <v>2670.5232914030939</v>
      </c>
      <c r="L7" s="89">
        <f t="shared" si="8"/>
        <v>3.3050756264760057</v>
      </c>
      <c r="M7" s="90">
        <f t="shared" si="9"/>
        <v>0.91807656291000161</v>
      </c>
      <c r="N7" s="92">
        <v>2</v>
      </c>
      <c r="O7" s="93">
        <f t="shared" si="10"/>
        <v>0.65253781323800286</v>
      </c>
      <c r="P7" s="94">
        <f t="shared" si="11"/>
        <v>2.4600139368888962</v>
      </c>
      <c r="Q7" s="95">
        <f t="shared" si="12"/>
        <v>2.5316599124101025</v>
      </c>
      <c r="S7" s="96">
        <f t="shared" si="13"/>
        <v>86.276482342400001</v>
      </c>
      <c r="T7" s="97">
        <f t="shared" si="14"/>
        <v>28</v>
      </c>
      <c r="U7" s="98">
        <f t="shared" si="15"/>
        <v>2.9716358090564485</v>
      </c>
      <c r="V7" s="99">
        <f t="shared" si="16"/>
        <v>1.2647480231752803</v>
      </c>
      <c r="W7" s="51">
        <v>1.3</v>
      </c>
      <c r="X7" s="51">
        <f t="shared" si="21"/>
        <v>-0.26523409805652798</v>
      </c>
      <c r="Y7" s="51">
        <f t="shared" si="18"/>
        <v>0.4643139627978361</v>
      </c>
      <c r="Z7" s="51">
        <f t="shared" si="19"/>
        <v>-0.57123868612155393</v>
      </c>
      <c r="AA7" s="51">
        <f t="shared" si="22"/>
        <v>-0.42206402372622182</v>
      </c>
      <c r="AB7" s="51">
        <f t="shared" si="23"/>
        <v>0.59443010176935096</v>
      </c>
      <c r="AC7" s="51">
        <f t="shared" si="24"/>
        <v>1.1000947488378721</v>
      </c>
      <c r="AD7" s="51">
        <f t="shared" si="25"/>
        <v>2.4055698982306488</v>
      </c>
      <c r="AE7" s="51">
        <f t="shared" si="26"/>
        <v>8.8999052511621279</v>
      </c>
      <c r="AF7" s="51">
        <f t="shared" si="27"/>
        <v>7.7627395803915224E-3</v>
      </c>
      <c r="AG7" s="51">
        <f t="shared" si="28"/>
        <v>-3.2763731024388486E-3</v>
      </c>
      <c r="AH7" s="51">
        <f t="shared" si="20"/>
        <v>6.2856445744721556E-3</v>
      </c>
      <c r="AI7" s="51">
        <f t="shared" si="29"/>
        <v>1.5120557379327014E-2</v>
      </c>
    </row>
    <row r="8" spans="1:35" ht="15" customHeight="1" x14ac:dyDescent="0.2">
      <c r="A8" s="100">
        <f>Реал_Мощность</f>
        <v>1</v>
      </c>
      <c r="B8" s="117">
        <v>27</v>
      </c>
      <c r="C8" s="102">
        <f t="shared" si="0"/>
        <v>0.221771537224</v>
      </c>
      <c r="D8" s="103">
        <f t="shared" si="1"/>
        <v>0.10016616575527991</v>
      </c>
      <c r="E8" s="104">
        <f t="shared" si="2"/>
        <v>86.504398019660016</v>
      </c>
      <c r="F8" s="105">
        <f t="shared" si="17"/>
        <v>73.885756336259547</v>
      </c>
      <c r="G8" s="102">
        <f t="shared" si="3"/>
        <v>0.66573726962970459</v>
      </c>
      <c r="H8" s="103">
        <f t="shared" si="4"/>
        <v>0.43756766976337957</v>
      </c>
      <c r="I8" s="106">
        <f t="shared" si="5"/>
        <v>2.7390701678668035</v>
      </c>
      <c r="J8" s="107">
        <f t="shared" si="6"/>
        <v>0.76085282440744539</v>
      </c>
      <c r="K8" s="108">
        <f t="shared" si="7"/>
        <v>2671.3472916342525</v>
      </c>
      <c r="L8" s="109">
        <f t="shared" si="8"/>
        <v>3.2793096421098253</v>
      </c>
      <c r="M8" s="110">
        <f t="shared" si="9"/>
        <v>0.91091934503050698</v>
      </c>
      <c r="N8" s="118">
        <v>1</v>
      </c>
      <c r="O8" s="112">
        <f t="shared" si="10"/>
        <v>2.2793096421098253</v>
      </c>
      <c r="P8" s="113">
        <f t="shared" si="11"/>
        <v>2.4229427316807306</v>
      </c>
      <c r="Q8" s="114">
        <f t="shared" si="12"/>
        <v>2.4935090374402908</v>
      </c>
      <c r="S8" s="79">
        <f t="shared" si="13"/>
        <v>86.504398019660016</v>
      </c>
      <c r="T8" s="115">
        <f t="shared" si="14"/>
        <v>27</v>
      </c>
      <c r="U8" s="81">
        <f t="shared" si="15"/>
        <v>2.9716764295730571</v>
      </c>
      <c r="V8" s="82">
        <f t="shared" si="16"/>
        <v>1.2647350879024826</v>
      </c>
      <c r="W8" s="51">
        <v>1.35</v>
      </c>
      <c r="X8" s="51">
        <f t="shared" si="21"/>
        <v>9.1594532928495676E-2</v>
      </c>
      <c r="Y8" s="51">
        <f t="shared" si="18"/>
        <v>0.46885756336259549</v>
      </c>
      <c r="Z8" s="51">
        <f t="shared" si="19"/>
        <v>0.19535684200461573</v>
      </c>
      <c r="AA8" s="51">
        <f t="shared" si="22"/>
        <v>0.14321605450976002</v>
      </c>
      <c r="AB8" s="51">
        <f t="shared" si="23"/>
        <v>0.73764615627911101</v>
      </c>
      <c r="AC8" s="51">
        <f t="shared" si="24"/>
        <v>1.2954515908424877</v>
      </c>
      <c r="AD8" s="51">
        <f t="shared" si="25"/>
        <v>2.2623538437208888</v>
      </c>
      <c r="AE8" s="51">
        <f t="shared" si="26"/>
        <v>8.7045484091575123</v>
      </c>
      <c r="AF8" s="51">
        <f t="shared" si="27"/>
        <v>8.4856201755374103E-3</v>
      </c>
      <c r="AG8" s="51">
        <f t="shared" si="28"/>
        <v>1.2152770416088852E-3</v>
      </c>
      <c r="AH8" s="51">
        <f t="shared" si="20"/>
        <v>6.1463773124225971E-3</v>
      </c>
      <c r="AI8" s="51">
        <f t="shared" si="29"/>
        <v>1.3905280337718129E-2</v>
      </c>
    </row>
    <row r="9" spans="1:35" ht="15" customHeight="1" x14ac:dyDescent="0.2">
      <c r="A9" s="83">
        <f>Реал_Мощность</f>
        <v>1</v>
      </c>
      <c r="B9" s="116">
        <v>26</v>
      </c>
      <c r="C9" s="85">
        <f t="shared" si="0"/>
        <v>0.21342837132799999</v>
      </c>
      <c r="D9" s="86">
        <f t="shared" si="1"/>
        <v>9.5834491594794222E-2</v>
      </c>
      <c r="E9" s="87">
        <f t="shared" si="2"/>
        <v>86.742804545119995</v>
      </c>
      <c r="F9" s="88">
        <f t="shared" si="17"/>
        <v>73.309976267110343</v>
      </c>
      <c r="G9" s="85">
        <f t="shared" si="3"/>
        <v>0.65930910823099875</v>
      </c>
      <c r="H9" s="86">
        <f t="shared" si="4"/>
        <v>0.43050517091192492</v>
      </c>
      <c r="I9" s="89">
        <f t="shared" si="5"/>
        <v>2.7202510454496562</v>
      </c>
      <c r="J9" s="90">
        <f t="shared" si="6"/>
        <v>0.75562529040268223</v>
      </c>
      <c r="K9" s="91">
        <f t="shared" si="7"/>
        <v>2672.2168462442805</v>
      </c>
      <c r="L9" s="89">
        <f t="shared" si="8"/>
        <v>3.2525976613122181</v>
      </c>
      <c r="M9" s="90">
        <f t="shared" si="9"/>
        <v>0.90349935036450502</v>
      </c>
      <c r="N9" s="119">
        <v>1</v>
      </c>
      <c r="O9" s="93">
        <f t="shared" si="10"/>
        <v>2.2525976613122181</v>
      </c>
      <c r="P9" s="94">
        <f t="shared" si="11"/>
        <v>2.3844785735725731</v>
      </c>
      <c r="Q9" s="95">
        <f t="shared" si="12"/>
        <v>2.4539246409103357</v>
      </c>
      <c r="S9" s="96">
        <f t="shared" si="13"/>
        <v>86.742804545119995</v>
      </c>
      <c r="T9" s="97">
        <f t="shared" si="14"/>
        <v>26</v>
      </c>
      <c r="U9" s="98">
        <f t="shared" si="15"/>
        <v>2.9717411893939722</v>
      </c>
      <c r="V9" s="99">
        <f t="shared" si="16"/>
        <v>1.2647144662119212</v>
      </c>
      <c r="W9" s="51">
        <v>1.4</v>
      </c>
      <c r="X9" s="51">
        <f t="shared" si="21"/>
        <v>8.6216741431510924E-2</v>
      </c>
      <c r="Y9" s="51">
        <f t="shared" si="18"/>
        <v>0.47309976267110343</v>
      </c>
      <c r="Z9" s="51">
        <f t="shared" si="19"/>
        <v>0.18223797227192517</v>
      </c>
      <c r="AA9" s="51">
        <f t="shared" si="22"/>
        <v>0.13248994389125576</v>
      </c>
      <c r="AB9" s="51">
        <f t="shared" si="23"/>
        <v>0.8701361001703668</v>
      </c>
      <c r="AC9" s="51">
        <f t="shared" si="24"/>
        <v>1.4776895631144129</v>
      </c>
      <c r="AD9" s="51">
        <f t="shared" si="25"/>
        <v>2.1298638998296333</v>
      </c>
      <c r="AE9" s="51">
        <f t="shared" si="26"/>
        <v>8.5223104368855864</v>
      </c>
      <c r="AF9" s="51">
        <f t="shared" si="27"/>
        <v>8.6049282373916354E-3</v>
      </c>
      <c r="AG9" s="51">
        <f t="shared" si="28"/>
        <v>1.1400664593603001E-3</v>
      </c>
      <c r="AH9" s="51">
        <f t="shared" si="20"/>
        <v>5.9934411205236687E-3</v>
      </c>
      <c r="AI9" s="51">
        <f t="shared" si="29"/>
        <v>1.2765213878357828E-2</v>
      </c>
    </row>
    <row r="10" spans="1:35" ht="15" customHeight="1" x14ac:dyDescent="0.2">
      <c r="A10" s="100">
        <f>Реал_Мощность</f>
        <v>1</v>
      </c>
      <c r="B10" s="117">
        <v>25</v>
      </c>
      <c r="C10" s="102">
        <f t="shared" si="0"/>
        <v>0.205105175</v>
      </c>
      <c r="D10" s="103">
        <f t="shared" si="1"/>
        <v>9.1563341698135195E-2</v>
      </c>
      <c r="E10" s="104">
        <f t="shared" si="2"/>
        <v>86.992437499999994</v>
      </c>
      <c r="F10" s="105">
        <f t="shared" si="17"/>
        <v>72.701612204926079</v>
      </c>
      <c r="G10" s="102">
        <f t="shared" si="3"/>
        <v>0.6525526509983014</v>
      </c>
      <c r="H10" s="103">
        <f t="shared" si="4"/>
        <v>0.42318099293496919</v>
      </c>
      <c r="I10" s="106">
        <f t="shared" si="5"/>
        <v>2.7007475497121192</v>
      </c>
      <c r="J10" s="107">
        <f t="shared" si="6"/>
        <v>0.75020765269781087</v>
      </c>
      <c r="K10" s="108">
        <f t="shared" si="7"/>
        <v>2673.1357390397693</v>
      </c>
      <c r="L10" s="109">
        <f t="shared" si="8"/>
        <v>3.2248913645538333</v>
      </c>
      <c r="M10" s="110">
        <f t="shared" si="9"/>
        <v>0.89580315682050926</v>
      </c>
      <c r="N10" s="118">
        <v>1</v>
      </c>
      <c r="O10" s="112">
        <f t="shared" si="10"/>
        <v>2.2248913645538333</v>
      </c>
      <c r="P10" s="113">
        <f t="shared" si="11"/>
        <v>2.344548013888077</v>
      </c>
      <c r="Q10" s="114">
        <f t="shared" si="12"/>
        <v>2.4128311350088265</v>
      </c>
      <c r="S10" s="79">
        <f t="shared" si="13"/>
        <v>86.992437499999994</v>
      </c>
      <c r="T10" s="115">
        <f t="shared" si="14"/>
        <v>25</v>
      </c>
      <c r="U10" s="81">
        <f t="shared" si="15"/>
        <v>2.9718444336349381</v>
      </c>
      <c r="V10" s="82">
        <f t="shared" si="16"/>
        <v>1.2646815911869083</v>
      </c>
      <c r="W10" s="51">
        <v>1.45</v>
      </c>
      <c r="X10" s="51">
        <f t="shared" si="21"/>
        <v>8.4509394977092422E-2</v>
      </c>
      <c r="Y10" s="51">
        <f t="shared" si="18"/>
        <v>0.4770161220492608</v>
      </c>
      <c r="Z10" s="51">
        <f t="shared" si="19"/>
        <v>0.17716255503910464</v>
      </c>
      <c r="AA10" s="51">
        <f t="shared" si="22"/>
        <v>0.12765949909124377</v>
      </c>
      <c r="AB10" s="51">
        <f t="shared" si="23"/>
        <v>0.99779559926161054</v>
      </c>
      <c r="AC10" s="51">
        <f t="shared" si="24"/>
        <v>1.6548521181535176</v>
      </c>
      <c r="AD10" s="51">
        <f t="shared" si="25"/>
        <v>2.0022044007383895</v>
      </c>
      <c r="AE10" s="51">
        <f t="shared" si="26"/>
        <v>8.3451478818464828</v>
      </c>
      <c r="AF10" s="51">
        <f t="shared" si="27"/>
        <v>8.6904896247593198E-3</v>
      </c>
      <c r="AG10" s="51">
        <f t="shared" si="28"/>
        <v>1.1094235523544259E-3</v>
      </c>
      <c r="AH10" s="51">
        <f t="shared" si="20"/>
        <v>5.8214787269995428E-3</v>
      </c>
      <c r="AI10" s="51">
        <f t="shared" si="29"/>
        <v>1.1655790326003402E-2</v>
      </c>
    </row>
    <row r="11" spans="1:35" ht="15" customHeight="1" x14ac:dyDescent="0.2">
      <c r="A11" s="83">
        <f>Реал_Мощность</f>
        <v>1</v>
      </c>
      <c r="B11" s="116">
        <v>24</v>
      </c>
      <c r="C11" s="85">
        <f t="shared" si="0"/>
        <v>0.19680028787200002</v>
      </c>
      <c r="D11" s="86">
        <f t="shared" si="1"/>
        <v>8.7350655084199216E-2</v>
      </c>
      <c r="E11" s="87">
        <f t="shared" si="2"/>
        <v>87.254072867840009</v>
      </c>
      <c r="F11" s="88">
        <f t="shared" si="17"/>
        <v>72.057833588517511</v>
      </c>
      <c r="G11" s="85">
        <f t="shared" si="3"/>
        <v>0.64544217592086339</v>
      </c>
      <c r="H11" s="86">
        <f t="shared" si="4"/>
        <v>0.41558040994695761</v>
      </c>
      <c r="I11" s="89">
        <f t="shared" si="5"/>
        <v>2.6805219028350695</v>
      </c>
      <c r="J11" s="90">
        <f t="shared" si="6"/>
        <v>0.74458941745418594</v>
      </c>
      <c r="K11" s="91">
        <f t="shared" si="7"/>
        <v>2674.1077603322387</v>
      </c>
      <c r="L11" s="89">
        <f t="shared" si="8"/>
        <v>3.1961338764048808</v>
      </c>
      <c r="M11" s="90">
        <f t="shared" si="9"/>
        <v>0.88781496566802243</v>
      </c>
      <c r="N11" s="119">
        <v>1</v>
      </c>
      <c r="O11" s="93">
        <f t="shared" si="10"/>
        <v>2.1961338764048808</v>
      </c>
      <c r="P11" s="94">
        <f t="shared" si="11"/>
        <v>2.303064829926063</v>
      </c>
      <c r="Q11" s="95">
        <f t="shared" si="12"/>
        <v>2.3701397858660727</v>
      </c>
      <c r="S11" s="96">
        <f t="shared" si="13"/>
        <v>87.254072867840009</v>
      </c>
      <c r="T11" s="97">
        <f t="shared" si="14"/>
        <v>24</v>
      </c>
      <c r="U11" s="98">
        <f t="shared" si="15"/>
        <v>2.9720090321953121</v>
      </c>
      <c r="V11" s="99">
        <f t="shared" si="16"/>
        <v>1.2646291832574315</v>
      </c>
      <c r="W11" s="51">
        <v>1.5</v>
      </c>
      <c r="X11" s="51">
        <f t="shared" si="21"/>
        <v>8.2820387913698668E-2</v>
      </c>
      <c r="Y11" s="51">
        <f t="shared" si="18"/>
        <v>0.48057833588517512</v>
      </c>
      <c r="Z11" s="51">
        <f t="shared" si="19"/>
        <v>0.17233483436400054</v>
      </c>
      <c r="AA11" s="51">
        <f t="shared" si="22"/>
        <v>0.12300456272003926</v>
      </c>
      <c r="AB11" s="51">
        <f t="shared" si="23"/>
        <v>1.1208001619816499</v>
      </c>
      <c r="AC11" s="51">
        <f t="shared" si="24"/>
        <v>1.8271869525175182</v>
      </c>
      <c r="AD11" s="51">
        <f t="shared" si="25"/>
        <v>1.8791998380183501</v>
      </c>
      <c r="AE11" s="51">
        <f t="shared" si="26"/>
        <v>8.1728130474824816</v>
      </c>
      <c r="AF11" s="51">
        <f t="shared" si="27"/>
        <v>8.7322180904993146E-3</v>
      </c>
      <c r="AG11" s="51">
        <f t="shared" si="28"/>
        <v>1.0741026677978844E-3</v>
      </c>
      <c r="AH11" s="51">
        <f t="shared" si="20"/>
        <v>5.6309539007645387E-3</v>
      </c>
      <c r="AI11" s="51">
        <f t="shared" si="29"/>
        <v>1.0581687658205517E-2</v>
      </c>
    </row>
    <row r="12" spans="1:35" ht="15" customHeight="1" x14ac:dyDescent="0.2">
      <c r="A12" s="120">
        <f>Реал_Мощность</f>
        <v>1</v>
      </c>
      <c r="B12" s="117">
        <v>23</v>
      </c>
      <c r="C12" s="121">
        <f t="shared" si="0"/>
        <v>0.18851204957599996</v>
      </c>
      <c r="D12" s="122">
        <f t="shared" si="1"/>
        <v>8.3194441781374806E-2</v>
      </c>
      <c r="E12" s="123">
        <f t="shared" si="2"/>
        <v>87.528528187700019</v>
      </c>
      <c r="F12" s="124">
        <f t="shared" si="17"/>
        <v>71.375333474503861</v>
      </c>
      <c r="G12" s="121">
        <f t="shared" si="3"/>
        <v>0.63794766497652278</v>
      </c>
      <c r="H12" s="122">
        <f t="shared" si="4"/>
        <v>0.40768596325193518</v>
      </c>
      <c r="I12" s="125">
        <f t="shared" si="5"/>
        <v>2.6595292232947028</v>
      </c>
      <c r="J12" s="126">
        <f t="shared" si="6"/>
        <v>0.73875811758186183</v>
      </c>
      <c r="K12" s="127">
        <f t="shared" si="7"/>
        <v>2675.1366474479487</v>
      </c>
      <c r="L12" s="128">
        <f t="shared" si="8"/>
        <v>3.1662577452912375</v>
      </c>
      <c r="M12" s="126">
        <f t="shared" si="9"/>
        <v>0.87951604035867703</v>
      </c>
      <c r="N12" s="129">
        <v>1</v>
      </c>
      <c r="O12" s="126">
        <f t="shared" si="10"/>
        <v>2.1662577452912375</v>
      </c>
      <c r="P12" s="130">
        <f t="shared" si="11"/>
        <v>2.2599270243639276</v>
      </c>
      <c r="Q12" s="131">
        <f t="shared" si="12"/>
        <v>2.3257456255674875</v>
      </c>
      <c r="R12" s="132"/>
      <c r="S12" s="133">
        <f t="shared" si="13"/>
        <v>87.528528187700019</v>
      </c>
      <c r="T12" s="134">
        <f t="shared" si="14"/>
        <v>23</v>
      </c>
      <c r="U12" s="134">
        <f t="shared" si="15"/>
        <v>2.9722714457287327</v>
      </c>
      <c r="V12" s="135">
        <f t="shared" si="16"/>
        <v>1.264545640172076</v>
      </c>
      <c r="W12" s="51">
        <v>1.55</v>
      </c>
      <c r="X12" s="51">
        <f t="shared" si="21"/>
        <v>8.1180967572203888E-2</v>
      </c>
      <c r="Y12" s="51">
        <f t="shared" si="18"/>
        <v>0.48375333474503862</v>
      </c>
      <c r="Z12" s="51">
        <f t="shared" si="19"/>
        <v>0.16781479680132888</v>
      </c>
      <c r="AA12" s="51">
        <f t="shared" si="22"/>
        <v>0.11856151890756574</v>
      </c>
      <c r="AB12" s="51">
        <f t="shared" si="23"/>
        <v>1.2393616808892156</v>
      </c>
      <c r="AC12" s="51">
        <f t="shared" si="24"/>
        <v>1.995001749318847</v>
      </c>
      <c r="AD12" s="51">
        <f t="shared" si="25"/>
        <v>1.7606383191107844</v>
      </c>
      <c r="AE12" s="51">
        <f t="shared" si="26"/>
        <v>8.0049982506811528</v>
      </c>
      <c r="AF12" s="51">
        <f t="shared" si="27"/>
        <v>8.7279785461850355E-3</v>
      </c>
      <c r="AG12" s="51">
        <f t="shared" si="28"/>
        <v>1.0348023934283453E-3</v>
      </c>
      <c r="AH12" s="51">
        <f t="shared" si="20"/>
        <v>5.4224000245540801E-3</v>
      </c>
      <c r="AI12" s="51">
        <f t="shared" si="29"/>
        <v>9.5468852647771722E-3</v>
      </c>
    </row>
    <row r="13" spans="1:35" ht="15" customHeight="1" x14ac:dyDescent="0.2">
      <c r="A13" s="83">
        <f>Реал_Мощность</f>
        <v>1</v>
      </c>
      <c r="B13" s="116">
        <v>22</v>
      </c>
      <c r="C13" s="85">
        <f t="shared" si="0"/>
        <v>0.18023879974399995</v>
      </c>
      <c r="D13" s="86">
        <f t="shared" si="1"/>
        <v>7.9092779917308911E-2</v>
      </c>
      <c r="E13" s="87">
        <f t="shared" si="2"/>
        <v>87.816663707360007</v>
      </c>
      <c r="F13" s="88">
        <f t="shared" si="17"/>
        <v>70.650217482268445</v>
      </c>
      <c r="G13" s="85">
        <f t="shared" si="3"/>
        <v>0.63003381885469345</v>
      </c>
      <c r="H13" s="86">
        <f t="shared" si="4"/>
        <v>0.39947685405794792</v>
      </c>
      <c r="I13" s="89">
        <f t="shared" si="5"/>
        <v>2.6377159497907265</v>
      </c>
      <c r="J13" s="90">
        <f t="shared" si="6"/>
        <v>0.73269887494186847</v>
      </c>
      <c r="K13" s="91">
        <f t="shared" si="7"/>
        <v>2676.2260142248442</v>
      </c>
      <c r="L13" s="89">
        <f t="shared" si="8"/>
        <v>3.1351825885944851</v>
      </c>
      <c r="M13" s="90">
        <f t="shared" si="9"/>
        <v>0.87088405238735689</v>
      </c>
      <c r="N13" s="119">
        <v>0.68</v>
      </c>
      <c r="O13" s="93">
        <f t="shared" si="10"/>
        <v>3.6105626302860068</v>
      </c>
      <c r="P13" s="94">
        <f t="shared" si="11"/>
        <v>2.2150133173082174</v>
      </c>
      <c r="Q13" s="95">
        <f t="shared" si="12"/>
        <v>2.2795238420378894</v>
      </c>
      <c r="S13" s="96">
        <f t="shared" si="13"/>
        <v>87.816663707360007</v>
      </c>
      <c r="T13" s="97">
        <f t="shared" si="14"/>
        <v>22</v>
      </c>
      <c r="U13" s="98">
        <f t="shared" si="15"/>
        <v>2.9726898021369887</v>
      </c>
      <c r="V13" s="136">
        <f t="shared" si="16"/>
        <v>1.2644124732754778</v>
      </c>
      <c r="W13" s="51">
        <v>1.6</v>
      </c>
      <c r="X13" s="51">
        <f t="shared" si="21"/>
        <v>7.9588686467742198E-2</v>
      </c>
      <c r="Y13" s="51">
        <f t="shared" si="18"/>
        <v>0.48650217482268443</v>
      </c>
      <c r="Z13" s="51">
        <f t="shared" si="19"/>
        <v>0.16359369101844182</v>
      </c>
      <c r="AA13" s="51">
        <f t="shared" si="22"/>
        <v>0.11431578048950812</v>
      </c>
      <c r="AB13" s="51">
        <f t="shared" si="23"/>
        <v>1.3536774613787237</v>
      </c>
      <c r="AC13" s="51">
        <f t="shared" si="24"/>
        <v>2.1585954403372889</v>
      </c>
      <c r="AD13" s="51">
        <f t="shared" si="25"/>
        <v>1.6463225386212763</v>
      </c>
      <c r="AE13" s="51">
        <f t="shared" si="26"/>
        <v>7.8414045596627115</v>
      </c>
      <c r="AF13" s="51">
        <f t="shared" si="27"/>
        <v>8.6758400392865278E-3</v>
      </c>
      <c r="AG13" s="51">
        <f t="shared" si="28"/>
        <v>9.9178542549316416E-4</v>
      </c>
      <c r="AH13" s="51">
        <f t="shared" si="20"/>
        <v>5.1964907474622403E-3</v>
      </c>
      <c r="AI13" s="51">
        <f t="shared" si="29"/>
        <v>8.5550998392840086E-3</v>
      </c>
    </row>
    <row r="14" spans="1:35" ht="15" customHeight="1" x14ac:dyDescent="0.2">
      <c r="A14" s="100">
        <f>Реал_Мощность</f>
        <v>1</v>
      </c>
      <c r="B14" s="117">
        <v>21</v>
      </c>
      <c r="C14" s="102">
        <f t="shared" si="0"/>
        <v>0.17197887800799999</v>
      </c>
      <c r="D14" s="103">
        <f t="shared" si="1"/>
        <v>7.5043812963103654E-2</v>
      </c>
      <c r="E14" s="104">
        <f t="shared" si="2"/>
        <v>88.119383536520004</v>
      </c>
      <c r="F14" s="105">
        <f t="shared" si="17"/>
        <v>69.877866180439298</v>
      </c>
      <c r="G14" s="102">
        <f t="shared" si="3"/>
        <v>0.62165885575064739</v>
      </c>
      <c r="H14" s="103">
        <f t="shared" si="4"/>
        <v>0.39092824316354635</v>
      </c>
      <c r="I14" s="106">
        <f t="shared" si="5"/>
        <v>2.6150180295076972</v>
      </c>
      <c r="J14" s="107">
        <f t="shared" si="6"/>
        <v>0.72639389708547142</v>
      </c>
      <c r="K14" s="108">
        <f t="shared" si="7"/>
        <v>2677.3792684247628</v>
      </c>
      <c r="L14" s="109">
        <f t="shared" si="8"/>
        <v>3.1028123675322314</v>
      </c>
      <c r="M14" s="110">
        <f t="shared" si="9"/>
        <v>0.86189232431450868</v>
      </c>
      <c r="N14" s="118">
        <v>1</v>
      </c>
      <c r="O14" s="112">
        <f t="shared" si="10"/>
        <v>2.1028123675322314</v>
      </c>
      <c r="P14" s="113">
        <f t="shared" si="11"/>
        <v>2.1681790740142928</v>
      </c>
      <c r="Q14" s="114">
        <f t="shared" si="12"/>
        <v>2.2313255881591982</v>
      </c>
      <c r="S14" s="79">
        <f t="shared" si="13"/>
        <v>88.119383536520004</v>
      </c>
      <c r="T14" s="115">
        <f t="shared" si="14"/>
        <v>21</v>
      </c>
      <c r="U14" s="81">
        <f t="shared" si="15"/>
        <v>2.9733567726321741</v>
      </c>
      <c r="V14" s="82">
        <f t="shared" si="16"/>
        <v>1.2642002280979927</v>
      </c>
      <c r="W14" s="51">
        <v>1.65</v>
      </c>
      <c r="X14" s="51">
        <f t="shared" si="21"/>
        <v>7.8041626688734045E-2</v>
      </c>
      <c r="Y14" s="51">
        <f t="shared" si="18"/>
        <v>0.488778661804393</v>
      </c>
      <c r="Z14" s="51">
        <f t="shared" si="19"/>
        <v>0.159666599193657</v>
      </c>
      <c r="AA14" s="51">
        <f t="shared" si="22"/>
        <v>0.11025420062055803</v>
      </c>
      <c r="AB14" s="51">
        <f t="shared" si="23"/>
        <v>1.4639316619992817</v>
      </c>
      <c r="AC14" s="51">
        <f t="shared" si="24"/>
        <v>2.3182620395309459</v>
      </c>
      <c r="AD14" s="51">
        <f t="shared" si="25"/>
        <v>1.5360683380007183</v>
      </c>
      <c r="AE14" s="51">
        <f t="shared" si="26"/>
        <v>7.6817379604690537</v>
      </c>
      <c r="AF14" s="51">
        <f t="shared" si="27"/>
        <v>8.5742097333126963E-3</v>
      </c>
      <c r="AG14" s="51">
        <f t="shared" si="28"/>
        <v>9.4534264009939943E-4</v>
      </c>
      <c r="AH14" s="51">
        <f t="shared" si="20"/>
        <v>4.954048599874891E-3</v>
      </c>
      <c r="AI14" s="51">
        <f t="shared" si="29"/>
        <v>7.6097571991846089E-3</v>
      </c>
    </row>
    <row r="15" spans="1:35" ht="15" customHeight="1" x14ac:dyDescent="0.2">
      <c r="A15" s="83">
        <f>Реал_Мощность</f>
        <v>1</v>
      </c>
      <c r="B15" s="116">
        <v>20</v>
      </c>
      <c r="C15" s="85">
        <f t="shared" si="0"/>
        <v>0.16373062400000002</v>
      </c>
      <c r="D15" s="86">
        <f t="shared" si="1"/>
        <v>7.1045747122632119E-2</v>
      </c>
      <c r="E15" s="87">
        <f t="shared" si="2"/>
        <v>88.437636799999993</v>
      </c>
      <c r="F15" s="88">
        <f t="shared" si="17"/>
        <v>69.052764433738901</v>
      </c>
      <c r="G15" s="85">
        <f t="shared" si="3"/>
        <v>0.6127730490699782</v>
      </c>
      <c r="H15" s="86">
        <f t="shared" si="4"/>
        <v>0.38201045118324067</v>
      </c>
      <c r="I15" s="89">
        <f t="shared" si="5"/>
        <v>2.5913588566028696</v>
      </c>
      <c r="J15" s="90">
        <f t="shared" si="6"/>
        <v>0.7198219046119082</v>
      </c>
      <c r="K15" s="91">
        <f t="shared" si="7"/>
        <v>2678.5995162023905</v>
      </c>
      <c r="L15" s="89">
        <f t="shared" si="8"/>
        <v>3.0690322610045011</v>
      </c>
      <c r="M15" s="90">
        <f t="shared" si="9"/>
        <v>0.85250896139013921</v>
      </c>
      <c r="N15" s="119">
        <v>0.6</v>
      </c>
      <c r="O15" s="93">
        <f t="shared" si="10"/>
        <v>4.115053768340835</v>
      </c>
      <c r="P15" s="94">
        <f t="shared" si="11"/>
        <v>2.119251617586889</v>
      </c>
      <c r="Q15" s="95">
        <f t="shared" si="12"/>
        <v>2.1809731579570744</v>
      </c>
      <c r="S15" s="96">
        <f t="shared" si="13"/>
        <v>88.437636799999993</v>
      </c>
      <c r="T15" s="97">
        <f t="shared" si="14"/>
        <v>20</v>
      </c>
      <c r="U15" s="98">
        <f t="shared" si="15"/>
        <v>2.9744200995770216</v>
      </c>
      <c r="V15" s="136">
        <f t="shared" si="16"/>
        <v>1.2638620006000083</v>
      </c>
      <c r="W15" s="51">
        <v>1.7</v>
      </c>
      <c r="X15" s="51">
        <f t="shared" si="21"/>
        <v>7.6538125511598054E-2</v>
      </c>
      <c r="Y15" s="51">
        <f t="shared" si="18"/>
        <v>0.49052764433738899</v>
      </c>
      <c r="Z15" s="51">
        <f t="shared" si="19"/>
        <v>0.15603223670500108</v>
      </c>
      <c r="AA15" s="51">
        <f t="shared" si="22"/>
        <v>0.10636450700193111</v>
      </c>
      <c r="AB15" s="51">
        <f t="shared" si="23"/>
        <v>1.5702961690012127</v>
      </c>
      <c r="AC15" s="51">
        <f t="shared" si="24"/>
        <v>2.474294276235947</v>
      </c>
      <c r="AD15" s="51">
        <f t="shared" si="25"/>
        <v>1.4297038309987873</v>
      </c>
      <c r="AE15" s="51">
        <f t="shared" si="26"/>
        <v>7.5257057237640534</v>
      </c>
      <c r="AF15" s="51">
        <f t="shared" si="27"/>
        <v>8.4218826197873138E-3</v>
      </c>
      <c r="AG15" s="51">
        <f t="shared" si="28"/>
        <v>8.9578939288180958E-4</v>
      </c>
      <c r="AH15" s="51">
        <f t="shared" si="20"/>
        <v>4.6960549875651094E-3</v>
      </c>
      <c r="AI15" s="51">
        <f t="shared" si="29"/>
        <v>6.7139678063027992E-3</v>
      </c>
    </row>
    <row r="16" spans="1:35" ht="15" customHeight="1" x14ac:dyDescent="0.2">
      <c r="A16" s="100">
        <f>Реал_Мощность</f>
        <v>1</v>
      </c>
      <c r="B16" s="117">
        <v>19</v>
      </c>
      <c r="C16" s="102">
        <f t="shared" si="0"/>
        <v>0.155492377352</v>
      </c>
      <c r="D16" s="103">
        <f t="shared" si="1"/>
        <v>6.7096848858286026E-2</v>
      </c>
      <c r="E16" s="104">
        <f t="shared" si="2"/>
        <v>88.772418790939994</v>
      </c>
      <c r="F16" s="105">
        <f t="shared" si="17"/>
        <v>68.168289609939279</v>
      </c>
      <c r="G16" s="102">
        <f t="shared" si="3"/>
        <v>0.60331695030946209</v>
      </c>
      <c r="H16" s="103">
        <f t="shared" si="4"/>
        <v>0.37268805617002826</v>
      </c>
      <c r="I16" s="106">
        <f t="shared" si="5"/>
        <v>2.5666469562054708</v>
      </c>
      <c r="J16" s="107">
        <f t="shared" si="6"/>
        <v>0.71295748783485302</v>
      </c>
      <c r="K16" s="108">
        <f t="shared" si="7"/>
        <v>2679.8894531901151</v>
      </c>
      <c r="L16" s="109">
        <f t="shared" si="8"/>
        <v>3.0337051177525827</v>
      </c>
      <c r="M16" s="110">
        <f t="shared" si="9"/>
        <v>0.842695866042384</v>
      </c>
      <c r="N16" s="118">
        <v>1</v>
      </c>
      <c r="O16" s="112">
        <f t="shared" si="10"/>
        <v>2.0337051177525827</v>
      </c>
      <c r="P16" s="113">
        <f t="shared" si="11"/>
        <v>2.06802489058113</v>
      </c>
      <c r="Q16" s="114">
        <f t="shared" si="12"/>
        <v>2.1282544927252549</v>
      </c>
      <c r="S16" s="79">
        <f t="shared" si="13"/>
        <v>88.772418790939994</v>
      </c>
      <c r="T16" s="115">
        <f t="shared" si="14"/>
        <v>19</v>
      </c>
      <c r="U16" s="81">
        <f t="shared" si="15"/>
        <v>2.9761153232785191</v>
      </c>
      <c r="V16" s="82">
        <f t="shared" si="16"/>
        <v>1.2633231508321718</v>
      </c>
      <c r="W16" s="51">
        <v>1.75</v>
      </c>
      <c r="X16" s="51">
        <f t="shared" si="21"/>
        <v>7.5076800721257719E-2</v>
      </c>
      <c r="Y16" s="51">
        <f t="shared" si="18"/>
        <v>0.49168289609939281</v>
      </c>
      <c r="Z16" s="51">
        <f t="shared" si="19"/>
        <v>0.15269353747477332</v>
      </c>
      <c r="AA16" s="51">
        <f t="shared" si="22"/>
        <v>0.1026351729940214</v>
      </c>
      <c r="AB16" s="51">
        <f t="shared" si="23"/>
        <v>1.6729313419952341</v>
      </c>
      <c r="AC16" s="51">
        <f t="shared" si="24"/>
        <v>2.6269878137107203</v>
      </c>
      <c r="AD16" s="51">
        <f t="shared" si="25"/>
        <v>1.3270686580047659</v>
      </c>
      <c r="AE16" s="51">
        <f t="shared" si="26"/>
        <v>7.3730121862892801</v>
      </c>
      <c r="AF16" s="51">
        <f t="shared" si="27"/>
        <v>8.218096228238941E-3</v>
      </c>
      <c r="AG16" s="51">
        <f t="shared" si="28"/>
        <v>8.4346572806681848E-4</v>
      </c>
      <c r="AH16" s="51">
        <f t="shared" si="20"/>
        <v>4.4236611593722816E-3</v>
      </c>
      <c r="AI16" s="51">
        <f t="shared" si="29"/>
        <v>5.8705020782359807E-3</v>
      </c>
    </row>
    <row r="17" spans="1:36" ht="15" customHeight="1" x14ac:dyDescent="0.2">
      <c r="A17" s="83">
        <f>Реал_Мощность</f>
        <v>1</v>
      </c>
      <c r="B17" s="116">
        <v>18</v>
      </c>
      <c r="C17" s="85">
        <f t="shared" si="0"/>
        <v>0.14726247769599998</v>
      </c>
      <c r="D17" s="86">
        <f t="shared" si="1"/>
        <v>6.3195442545044694E-2</v>
      </c>
      <c r="E17" s="87">
        <f t="shared" si="2"/>
        <v>89.124772123999989</v>
      </c>
      <c r="F17" s="88">
        <f t="shared" si="17"/>
        <v>67.216448509471391</v>
      </c>
      <c r="G17" s="85">
        <f t="shared" si="3"/>
        <v>0.59321923356248174</v>
      </c>
      <c r="H17" s="86">
        <f t="shared" si="4"/>
        <v>0.36291889108007724</v>
      </c>
      <c r="I17" s="89">
        <f t="shared" si="5"/>
        <v>2.540773424783886</v>
      </c>
      <c r="J17" s="90">
        <f t="shared" si="6"/>
        <v>0.7057703957733017</v>
      </c>
      <c r="K17" s="91">
        <f t="shared" si="7"/>
        <v>2681.2512424721531</v>
      </c>
      <c r="L17" s="89">
        <f t="shared" si="8"/>
        <v>2.9966674842455978</v>
      </c>
      <c r="M17" s="90">
        <f t="shared" si="9"/>
        <v>0.83240763451266608</v>
      </c>
      <c r="N17" s="119">
        <v>1</v>
      </c>
      <c r="O17" s="93">
        <f t="shared" si="10"/>
        <v>1.9966674842455978</v>
      </c>
      <c r="P17" s="94">
        <f t="shared" si="11"/>
        <v>2.0142534565480141</v>
      </c>
      <c r="Q17" s="95">
        <f t="shared" si="12"/>
        <v>2.0729170078707564</v>
      </c>
      <c r="S17" s="96">
        <f t="shared" si="13"/>
        <v>89.124772123999989</v>
      </c>
      <c r="T17" s="97">
        <f t="shared" si="14"/>
        <v>18</v>
      </c>
      <c r="U17" s="98">
        <f t="shared" si="15"/>
        <v>2.9788179571316777</v>
      </c>
      <c r="V17" s="136">
        <f t="shared" si="16"/>
        <v>1.262465031674245</v>
      </c>
      <c r="W17" s="51">
        <v>1.8</v>
      </c>
      <c r="X17" s="51">
        <f t="shared" si="21"/>
        <v>7.3656586335588414E-2</v>
      </c>
      <c r="Y17" s="51">
        <f t="shared" si="18"/>
        <v>0.49216448509471389</v>
      </c>
      <c r="Z17" s="51">
        <f t="shared" si="19"/>
        <v>0.14965847509580801</v>
      </c>
      <c r="AA17" s="51">
        <f t="shared" si="22"/>
        <v>9.9055278499022487E-2</v>
      </c>
      <c r="AB17" s="51">
        <f t="shared" si="23"/>
        <v>1.7719866204942565</v>
      </c>
      <c r="AC17" s="51">
        <f t="shared" si="24"/>
        <v>2.7766462888065284</v>
      </c>
      <c r="AD17" s="51">
        <f t="shared" si="25"/>
        <v>1.2280133795057435</v>
      </c>
      <c r="AE17" s="51">
        <f t="shared" si="26"/>
        <v>7.2233537111934716</v>
      </c>
      <c r="AF17" s="51">
        <f t="shared" si="27"/>
        <v>7.9625900868701069E-3</v>
      </c>
      <c r="AG17" s="51">
        <f t="shared" si="28"/>
        <v>7.8873657862847408E-4</v>
      </c>
      <c r="AH17" s="51">
        <f t="shared" si="20"/>
        <v>4.138200433657196E-3</v>
      </c>
      <c r="AI17" s="51">
        <f t="shared" si="29"/>
        <v>5.0817654996075066E-3</v>
      </c>
    </row>
    <row r="18" spans="1:36" ht="15" customHeight="1" x14ac:dyDescent="0.2">
      <c r="A18" s="100">
        <f>Реал_Мощность</f>
        <v>1</v>
      </c>
      <c r="B18" s="117">
        <v>17</v>
      </c>
      <c r="C18" s="102">
        <f t="shared" si="0"/>
        <v>0.13903926466399999</v>
      </c>
      <c r="D18" s="103">
        <f t="shared" si="1"/>
        <v>5.9339908245289313E-2</v>
      </c>
      <c r="E18" s="104">
        <f t="shared" si="2"/>
        <v>89.495787888560002</v>
      </c>
      <c r="F18" s="105">
        <f t="shared" si="17"/>
        <v>66.187550311206579</v>
      </c>
      <c r="G18" s="102">
        <f t="shared" si="3"/>
        <v>0.58239408698870887</v>
      </c>
      <c r="H18" s="103">
        <f t="shared" si="4"/>
        <v>0.3526529523117311</v>
      </c>
      <c r="I18" s="106">
        <f t="shared" si="5"/>
        <v>2.5136091618568557</v>
      </c>
      <c r="J18" s="107">
        <f t="shared" si="6"/>
        <v>0.69822476718245985</v>
      </c>
      <c r="K18" s="108">
        <f t="shared" si="7"/>
        <v>2682.6863808498638</v>
      </c>
      <c r="L18" s="109">
        <f t="shared" si="8"/>
        <v>2.957725234886849</v>
      </c>
      <c r="M18" s="110">
        <f t="shared" si="9"/>
        <v>0.8215903430241247</v>
      </c>
      <c r="N18" s="118">
        <v>1</v>
      </c>
      <c r="O18" s="112">
        <f t="shared" si="10"/>
        <v>1.957725234886849</v>
      </c>
      <c r="P18" s="113">
        <f t="shared" si="11"/>
        <v>1.9576458779079862</v>
      </c>
      <c r="Q18" s="114">
        <f t="shared" si="12"/>
        <v>2.0146607779232131</v>
      </c>
      <c r="S18" s="79">
        <f t="shared" si="13"/>
        <v>89.495787888560002</v>
      </c>
      <c r="T18" s="115">
        <f t="shared" si="14"/>
        <v>17</v>
      </c>
      <c r="U18" s="81">
        <f t="shared" si="15"/>
        <v>2.9831266685647377</v>
      </c>
      <c r="V18" s="137">
        <f t="shared" si="16"/>
        <v>1.2610993714860459</v>
      </c>
      <c r="W18" s="51">
        <v>1.85</v>
      </c>
      <c r="X18" s="51">
        <f t="shared" si="21"/>
        <v>7.2276785714787961E-2</v>
      </c>
      <c r="Y18" s="51">
        <f t="shared" si="18"/>
        <v>0.49187550311206579</v>
      </c>
      <c r="Z18" s="51">
        <f t="shared" si="19"/>
        <v>0.14694121837232638</v>
      </c>
      <c r="AA18" s="51">
        <f t="shared" si="22"/>
        <v>9.561435629445196E-2</v>
      </c>
      <c r="AB18" s="51">
        <f t="shared" si="23"/>
        <v>1.8676009767887085</v>
      </c>
      <c r="AC18" s="51">
        <f t="shared" si="24"/>
        <v>2.9235875071788548</v>
      </c>
      <c r="AD18" s="51">
        <f t="shared" si="25"/>
        <v>1.1323990232112915</v>
      </c>
      <c r="AE18" s="51">
        <f t="shared" si="26"/>
        <v>7.0764124928211452</v>
      </c>
      <c r="AF18" s="51">
        <f t="shared" si="27"/>
        <v>7.6556708022658126E-3</v>
      </c>
      <c r="AG18" s="51">
        <f t="shared" si="28"/>
        <v>7.3199203576087624E-4</v>
      </c>
      <c r="AH18" s="51">
        <f t="shared" si="20"/>
        <v>3.8412020627776695E-3</v>
      </c>
      <c r="AI18" s="51">
        <f t="shared" si="29"/>
        <v>4.3497734638466307E-3</v>
      </c>
    </row>
    <row r="19" spans="1:36" ht="15" customHeight="1" x14ac:dyDescent="0.2">
      <c r="A19" s="83">
        <f>Реал_Мощность</f>
        <v>1</v>
      </c>
      <c r="B19" s="116">
        <v>16</v>
      </c>
      <c r="C19" s="85">
        <f t="shared" si="0"/>
        <v>0.13082107788800001</v>
      </c>
      <c r="D19" s="86">
        <f t="shared" si="1"/>
        <v>5.552867959728016E-2</v>
      </c>
      <c r="E19" s="87">
        <f t="shared" si="2"/>
        <v>89.88660680192001</v>
      </c>
      <c r="F19" s="88">
        <f t="shared" si="17"/>
        <v>65.069799579434502</v>
      </c>
      <c r="G19" s="85">
        <f t="shared" si="3"/>
        <v>0.57073806415017492</v>
      </c>
      <c r="H19" s="86">
        <f t="shared" si="4"/>
        <v>0.34183124361553607</v>
      </c>
      <c r="I19" s="89">
        <f t="shared" si="5"/>
        <v>2.4850019634793989</v>
      </c>
      <c r="J19" s="90">
        <f t="shared" si="6"/>
        <v>0.69027832318872195</v>
      </c>
      <c r="K19" s="91">
        <f t="shared" si="7"/>
        <v>2684.195556483372</v>
      </c>
      <c r="L19" s="89">
        <f t="shared" si="8"/>
        <v>2.9166488752569855</v>
      </c>
      <c r="M19" s="90">
        <f t="shared" si="9"/>
        <v>0.81018024312694037</v>
      </c>
      <c r="N19" s="92">
        <v>0.56999999999999995</v>
      </c>
      <c r="O19" s="93">
        <f t="shared" si="10"/>
        <v>4.116927851328045</v>
      </c>
      <c r="P19" s="94">
        <f t="shared" si="11"/>
        <v>1.8978575775655511</v>
      </c>
      <c r="Q19" s="95">
        <f t="shared" si="12"/>
        <v>1.9531311902496151</v>
      </c>
      <c r="S19" s="96">
        <f t="shared" si="13"/>
        <v>89.88660680192001</v>
      </c>
      <c r="T19" s="97">
        <f t="shared" si="14"/>
        <v>16</v>
      </c>
      <c r="U19" s="98">
        <f t="shared" si="15"/>
        <v>2.9899958914125535</v>
      </c>
      <c r="V19" s="136">
        <f t="shared" si="16"/>
        <v>1.258928248294009</v>
      </c>
      <c r="W19" s="51">
        <v>1.9</v>
      </c>
      <c r="X19" s="51">
        <f t="shared" si="21"/>
        <v>7.0937149288119727E-2</v>
      </c>
      <c r="Y19" s="51">
        <f t="shared" si="18"/>
        <v>0.49069799579434503</v>
      </c>
      <c r="Z19" s="51">
        <f t="shared" si="19"/>
        <v>0.14456376405875923</v>
      </c>
      <c r="AA19" s="51">
        <f t="shared" si="22"/>
        <v>9.2302213054284335E-2</v>
      </c>
      <c r="AB19" s="51">
        <f t="shared" si="23"/>
        <v>1.9599031898429928</v>
      </c>
      <c r="AC19" s="51">
        <f t="shared" si="24"/>
        <v>3.068151271237614</v>
      </c>
      <c r="AD19" s="51">
        <f t="shared" si="25"/>
        <v>1.0400968101570072</v>
      </c>
      <c r="AE19" s="51">
        <f t="shared" si="26"/>
        <v>6.931848728762386</v>
      </c>
      <c r="AF19" s="51">
        <f t="shared" si="27"/>
        <v>7.2982839192775716E-3</v>
      </c>
      <c r="AG19" s="51">
        <f t="shared" si="28"/>
        <v>6.7364775724781576E-4</v>
      </c>
      <c r="AH19" s="51">
        <f t="shared" si="20"/>
        <v>3.5344072500750074E-3</v>
      </c>
      <c r="AI19" s="51">
        <f t="shared" si="29"/>
        <v>3.6761257065988148E-3</v>
      </c>
    </row>
    <row r="20" spans="1:36" ht="15" customHeight="1" x14ac:dyDescent="0.2">
      <c r="A20" s="100">
        <f>Реал_Мощность</f>
        <v>1</v>
      </c>
      <c r="B20" s="117">
        <v>15</v>
      </c>
      <c r="C20" s="102">
        <f t="shared" si="0"/>
        <v>0.122606257</v>
      </c>
      <c r="D20" s="103">
        <f t="shared" si="1"/>
        <v>5.1760241810672444E-2</v>
      </c>
      <c r="E20" s="104">
        <f t="shared" si="2"/>
        <v>90.298420362500011</v>
      </c>
      <c r="F20" s="105">
        <f t="shared" si="17"/>
        <v>63.848789255907363</v>
      </c>
      <c r="G20" s="102">
        <f t="shared" si="3"/>
        <v>0.55812629423394755</v>
      </c>
      <c r="H20" s="103">
        <f t="shared" si="4"/>
        <v>0.33038459815730503</v>
      </c>
      <c r="I20" s="106">
        <f t="shared" si="5"/>
        <v>2.4547735976228595</v>
      </c>
      <c r="J20" s="107">
        <f t="shared" si="6"/>
        <v>0.68188155489523872</v>
      </c>
      <c r="K20" s="108">
        <f t="shared" si="7"/>
        <v>2685.7785033818063</v>
      </c>
      <c r="L20" s="109">
        <f t="shared" si="8"/>
        <v>2.8731686523250932</v>
      </c>
      <c r="M20" s="110">
        <f t="shared" si="9"/>
        <v>0.79810240342363703</v>
      </c>
      <c r="N20" s="118">
        <v>1</v>
      </c>
      <c r="O20" s="112">
        <f t="shared" si="10"/>
        <v>1.8731686523250932</v>
      </c>
      <c r="P20" s="113">
        <f t="shared" si="11"/>
        <v>1.8344833977898425</v>
      </c>
      <c r="Q20" s="114">
        <f t="shared" si="12"/>
        <v>1.8879112872181152</v>
      </c>
      <c r="S20" s="79">
        <f t="shared" si="13"/>
        <v>90.298420362500011</v>
      </c>
      <c r="T20" s="115">
        <f t="shared" si="14"/>
        <v>15</v>
      </c>
      <c r="U20" s="81">
        <f t="shared" si="15"/>
        <v>3.000947245028641</v>
      </c>
      <c r="V20" s="137">
        <f t="shared" si="16"/>
        <v>1.2554823222220068</v>
      </c>
      <c r="W20" s="51">
        <v>1.95</v>
      </c>
      <c r="X20" s="51">
        <f t="shared" si="21"/>
        <v>6.9637988130273221E-2</v>
      </c>
      <c r="Y20" s="51">
        <f t="shared" si="18"/>
        <v>0.48848789255907366</v>
      </c>
      <c r="Z20" s="51">
        <f t="shared" si="19"/>
        <v>0.1425582684669135</v>
      </c>
      <c r="AA20" s="51">
        <f t="shared" si="22"/>
        <v>8.9108709137498007E-2</v>
      </c>
      <c r="AB20" s="51">
        <f t="shared" si="23"/>
        <v>2.0490118989804906</v>
      </c>
      <c r="AC20" s="51">
        <f t="shared" si="24"/>
        <v>3.2107095397045273</v>
      </c>
      <c r="AD20" s="51">
        <f t="shared" si="25"/>
        <v>0.95098810101950937</v>
      </c>
      <c r="AE20" s="51">
        <f t="shared" si="26"/>
        <v>6.7892904602954722</v>
      </c>
      <c r="AF20" s="51">
        <f t="shared" si="27"/>
        <v>6.8920941376462647E-3</v>
      </c>
      <c r="AG20" s="51">
        <f t="shared" si="28"/>
        <v>6.1414561185977614E-4</v>
      </c>
      <c r="AH20" s="51">
        <f t="shared" si="20"/>
        <v>3.2197880199094334E-3</v>
      </c>
      <c r="AI20" s="51">
        <f t="shared" si="29"/>
        <v>3.0619800947390384E-3</v>
      </c>
    </row>
    <row r="21" spans="1:36" ht="15" customHeight="1" x14ac:dyDescent="0.2">
      <c r="A21" s="83">
        <f>Реал_Мощность</f>
        <v>1</v>
      </c>
      <c r="B21" s="116">
        <v>14</v>
      </c>
      <c r="C21" s="85">
        <f t="shared" si="0"/>
        <v>0.11439314163199998</v>
      </c>
      <c r="D21" s="86">
        <f t="shared" si="1"/>
        <v>4.8033129762870275E-2</v>
      </c>
      <c r="E21" s="87">
        <f t="shared" si="2"/>
        <v>90.732472003040002</v>
      </c>
      <c r="F21" s="88">
        <f t="shared" si="17"/>
        <v>62.506868311310427</v>
      </c>
      <c r="G21" s="85">
        <f t="shared" si="3"/>
        <v>0.54440793443422197</v>
      </c>
      <c r="H21" s="86">
        <f t="shared" si="4"/>
        <v>0.31823254635825982</v>
      </c>
      <c r="I21" s="89">
        <f t="shared" si="5"/>
        <v>2.4227170477481397</v>
      </c>
      <c r="J21" s="90">
        <f t="shared" si="6"/>
        <v>0.67297695770781651</v>
      </c>
      <c r="K21" s="91">
        <f t="shared" si="7"/>
        <v>2687.4338614280209</v>
      </c>
      <c r="L21" s="89">
        <f t="shared" si="8"/>
        <v>2.8269696914228515</v>
      </c>
      <c r="M21" s="90">
        <f t="shared" si="9"/>
        <v>0.78526935872856984</v>
      </c>
      <c r="N21" s="119">
        <v>1</v>
      </c>
      <c r="O21" s="93">
        <f t="shared" si="10"/>
        <v>1.8269696914228515</v>
      </c>
      <c r="P21" s="94">
        <f t="shared" si="11"/>
        <v>1.7670502222183406</v>
      </c>
      <c r="Q21" s="95">
        <f t="shared" si="12"/>
        <v>1.8185141733233925</v>
      </c>
      <c r="S21" s="96">
        <f t="shared" si="13"/>
        <v>90.732472003040002</v>
      </c>
      <c r="T21" s="97">
        <f t="shared" si="14"/>
        <v>14</v>
      </c>
      <c r="U21" s="98">
        <f t="shared" si="15"/>
        <v>3.0184065921315879</v>
      </c>
      <c r="V21" s="136">
        <f t="shared" si="16"/>
        <v>1.2500274482209017</v>
      </c>
      <c r="W21" s="51">
        <v>2</v>
      </c>
      <c r="X21" s="51">
        <f t="shared" si="21"/>
        <v>6.8380341181097926E-2</v>
      </c>
      <c r="Y21" s="51">
        <f t="shared" si="18"/>
        <v>0.48506868311310425</v>
      </c>
      <c r="Z21" s="51">
        <f t="shared" si="19"/>
        <v>0.14097043070734289</v>
      </c>
      <c r="AA21" s="51">
        <f t="shared" si="22"/>
        <v>8.602347245530767E-2</v>
      </c>
      <c r="AB21" s="51">
        <f t="shared" si="23"/>
        <v>2.1350353714357984</v>
      </c>
      <c r="AC21" s="51">
        <f t="shared" si="24"/>
        <v>3.3516799704118703</v>
      </c>
      <c r="AD21" s="51">
        <f t="shared" si="25"/>
        <v>0.86496462856420164</v>
      </c>
      <c r="AE21" s="51">
        <f t="shared" si="26"/>
        <v>6.6483200295881293</v>
      </c>
      <c r="AF21" s="51">
        <f t="shared" si="27"/>
        <v>6.4395760398188668E-3</v>
      </c>
      <c r="AG21" s="51">
        <f t="shared" si="28"/>
        <v>5.5395469208521753E-4</v>
      </c>
      <c r="AH21" s="51">
        <f t="shared" si="20"/>
        <v>2.8995699012767939E-3</v>
      </c>
      <c r="AI21" s="51">
        <f t="shared" si="29"/>
        <v>2.508025402653821E-3</v>
      </c>
    </row>
    <row r="22" spans="1:36" ht="15" customHeight="1" x14ac:dyDescent="0.2">
      <c r="A22" s="100">
        <f>Реал_Мощность</f>
        <v>1</v>
      </c>
      <c r="B22" s="117">
        <v>13</v>
      </c>
      <c r="C22" s="102">
        <f t="shared" si="0"/>
        <v>0.106180071416</v>
      </c>
      <c r="D22" s="103">
        <f t="shared" si="1"/>
        <v>4.434592619041184E-2</v>
      </c>
      <c r="E22" s="104">
        <f t="shared" si="2"/>
        <v>91.190058243799996</v>
      </c>
      <c r="F22" s="105">
        <f t="shared" si="17"/>
        <v>61.022352009333027</v>
      </c>
      <c r="G22" s="102">
        <f t="shared" si="3"/>
        <v>0.52940072887572243</v>
      </c>
      <c r="H22" s="103">
        <f t="shared" si="4"/>
        <v>0.30528232848854508</v>
      </c>
      <c r="I22" s="106">
        <f t="shared" si="5"/>
        <v>2.3885941936021786</v>
      </c>
      <c r="J22" s="107">
        <f t="shared" si="6"/>
        <v>0.66349838711171627</v>
      </c>
      <c r="K22" s="108">
        <f t="shared" si="7"/>
        <v>2689.1590546846023</v>
      </c>
      <c r="L22" s="109">
        <f t="shared" si="8"/>
        <v>2.7776874894309538</v>
      </c>
      <c r="M22" s="110">
        <f t="shared" si="9"/>
        <v>0.77157985817526487</v>
      </c>
      <c r="N22" s="118">
        <v>1</v>
      </c>
      <c r="O22" s="112">
        <f t="shared" si="10"/>
        <v>1.7776874894309538</v>
      </c>
      <c r="P22" s="113">
        <f t="shared" si="11"/>
        <v>1.6950102375197615</v>
      </c>
      <c r="Q22" s="114">
        <f t="shared" si="12"/>
        <v>1.7443760806007633</v>
      </c>
      <c r="S22" s="79">
        <f t="shared" si="13"/>
        <v>91.190058243799996</v>
      </c>
      <c r="T22" s="115">
        <f t="shared" si="14"/>
        <v>13</v>
      </c>
      <c r="U22" s="81">
        <f t="shared" si="15"/>
        <v>3.0462413979461802</v>
      </c>
      <c r="V22" s="137">
        <f t="shared" si="16"/>
        <v>1.2414282896779141</v>
      </c>
      <c r="W22" s="51">
        <v>2.0499999999999998</v>
      </c>
      <c r="X22" s="51">
        <f t="shared" si="21"/>
        <v>6.7166225013626124E-2</v>
      </c>
      <c r="Y22" s="51">
        <f t="shared" si="18"/>
        <v>0.48022352009333025</v>
      </c>
      <c r="Z22" s="51">
        <f t="shared" si="19"/>
        <v>0.13986450517994731</v>
      </c>
      <c r="AA22" s="51">
        <f t="shared" si="22"/>
        <v>8.3035506414873991E-2</v>
      </c>
      <c r="AB22" s="51">
        <f t="shared" si="23"/>
        <v>2.2180708778506721</v>
      </c>
      <c r="AC22" s="51">
        <f t="shared" si="24"/>
        <v>3.4915444755918177</v>
      </c>
      <c r="AD22" s="51">
        <f t="shared" si="25"/>
        <v>0.78192912214932786</v>
      </c>
      <c r="AE22" s="51">
        <f t="shared" si="26"/>
        <v>6.5084555244081823</v>
      </c>
      <c r="AF22" s="51">
        <f t="shared" si="27"/>
        <v>5.9441182976174272E-3</v>
      </c>
      <c r="AG22" s="51">
        <f t="shared" si="28"/>
        <v>4.9357287303258173E-4</v>
      </c>
      <c r="AH22" s="51">
        <f t="shared" si="20"/>
        <v>2.5762597562346986E-3</v>
      </c>
      <c r="AI22" s="51">
        <f t="shared" si="29"/>
        <v>2.0144525296212391E-3</v>
      </c>
    </row>
    <row r="23" spans="1:36" ht="15.75" customHeight="1" x14ac:dyDescent="0.2">
      <c r="A23" s="138">
        <f>Реал_Мощность</f>
        <v>1</v>
      </c>
      <c r="B23" s="116">
        <v>12</v>
      </c>
      <c r="C23" s="139">
        <f t="shared" si="0"/>
        <v>9.7965385983999995E-2</v>
      </c>
      <c r="D23" s="140">
        <f t="shared" si="1"/>
        <v>4.0697259969944125E-2</v>
      </c>
      <c r="E23" s="141">
        <f t="shared" si="2"/>
        <v>91.67252984576001</v>
      </c>
      <c r="F23" s="142">
        <f t="shared" si="17"/>
        <v>59.368534073775123</v>
      </c>
      <c r="G23" s="139">
        <f t="shared" si="3"/>
        <v>0.51288451305626293</v>
      </c>
      <c r="H23" s="140">
        <f t="shared" si="4"/>
        <v>0.29142818713275281</v>
      </c>
      <c r="I23" s="143">
        <f t="shared" si="5"/>
        <v>2.3521342925102391</v>
      </c>
      <c r="J23" s="144">
        <f t="shared" si="6"/>
        <v>0.65337063680839969</v>
      </c>
      <c r="K23" s="145">
        <f t="shared" si="7"/>
        <v>2690.9502054145473</v>
      </c>
      <c r="L23" s="143">
        <f t="shared" si="8"/>
        <v>2.7249042223535356</v>
      </c>
      <c r="M23" s="144">
        <f t="shared" si="9"/>
        <v>0.7569178395426488</v>
      </c>
      <c r="N23" s="146">
        <v>1</v>
      </c>
      <c r="O23" s="147">
        <f t="shared" si="10"/>
        <v>1.7249042223535356</v>
      </c>
      <c r="P23" s="148">
        <f t="shared" si="11"/>
        <v>1.6177356917256958</v>
      </c>
      <c r="Q23" s="149">
        <f t="shared" si="12"/>
        <v>1.6648509742983388</v>
      </c>
      <c r="S23" s="96">
        <f t="shared" si="13"/>
        <v>91.67252984576001</v>
      </c>
      <c r="T23" s="97">
        <f t="shared" si="14"/>
        <v>12</v>
      </c>
      <c r="U23" s="150">
        <f t="shared" si="15"/>
        <v>3.0906174224910745</v>
      </c>
      <c r="V23" s="136">
        <f t="shared" ref="V23:V26" si="30">IF(B23=0,0,L$4/(1+U23))</f>
        <v>1.2279609700624008</v>
      </c>
      <c r="W23" s="51">
        <v>2.1</v>
      </c>
      <c r="X23" s="51">
        <f t="shared" si="21"/>
        <v>6.5999014464427741E-2</v>
      </c>
      <c r="Y23" s="51">
        <f t="shared" si="18"/>
        <v>0.47368534073775126</v>
      </c>
      <c r="Z23" s="51">
        <f t="shared" si="19"/>
        <v>0.13933092031439306</v>
      </c>
      <c r="AA23" s="51">
        <f t="shared" si="22"/>
        <v>8.013262418769114E-2</v>
      </c>
      <c r="AB23" s="51">
        <f t="shared" si="23"/>
        <v>2.2982035020383633</v>
      </c>
      <c r="AC23" s="51">
        <f t="shared" si="24"/>
        <v>3.6308753959062106</v>
      </c>
      <c r="AD23" s="51">
        <f t="shared" si="25"/>
        <v>0.70179649796163668</v>
      </c>
      <c r="AE23" s="51">
        <f t="shared" si="26"/>
        <v>6.3691246040937894</v>
      </c>
      <c r="AF23" s="51">
        <f t="shared" si="27"/>
        <v>5.4101454880928672E-3</v>
      </c>
      <c r="AG23" s="51">
        <f t="shared" si="28"/>
        <v>4.3352915519807861E-4</v>
      </c>
      <c r="AH23" s="51">
        <f t="shared" si="20"/>
        <v>2.2526806261002185E-3</v>
      </c>
      <c r="AI23" s="51">
        <f t="shared" si="29"/>
        <v>1.5809233744231606E-3</v>
      </c>
    </row>
    <row r="24" spans="1:36" ht="15.75" customHeight="1" x14ac:dyDescent="0.2">
      <c r="A24" s="151">
        <f>Реал_Мощность</f>
        <v>1</v>
      </c>
      <c r="B24" s="117">
        <v>11</v>
      </c>
      <c r="C24" s="152">
        <f t="shared" si="0"/>
        <v>8.9747424968000006E-2</v>
      </c>
      <c r="D24" s="153">
        <f t="shared" si="1"/>
        <v>3.7085804483684676E-2</v>
      </c>
      <c r="E24" s="154">
        <f t="shared" si="2"/>
        <v>92.181292963819999</v>
      </c>
      <c r="F24" s="155">
        <f t="shared" si="17"/>
        <v>57.512448785148337</v>
      </c>
      <c r="G24" s="152">
        <f t="shared" si="3"/>
        <v>0.49459346275070964</v>
      </c>
      <c r="H24" s="153">
        <f t="shared" si="4"/>
        <v>0.27655111005688515</v>
      </c>
      <c r="I24" s="156">
        <f t="shared" si="5"/>
        <v>2.3130337149913376</v>
      </c>
      <c r="J24" s="157">
        <f t="shared" si="6"/>
        <v>0.6425093652753715</v>
      </c>
      <c r="K24" s="158">
        <f t="shared" si="7"/>
        <v>2692.8021058478935</v>
      </c>
      <c r="L24" s="156">
        <f t="shared" si="8"/>
        <v>2.6681464567653137</v>
      </c>
      <c r="M24" s="157">
        <f t="shared" si="9"/>
        <v>0.74115179354592042</v>
      </c>
      <c r="N24" s="159">
        <v>2</v>
      </c>
      <c r="O24" s="157">
        <f t="shared" si="10"/>
        <v>0.33407322838265685</v>
      </c>
      <c r="P24" s="160">
        <f t="shared" si="11"/>
        <v>1.5345163644599011</v>
      </c>
      <c r="Q24" s="161">
        <f t="shared" si="12"/>
        <v>1.5792079494287341</v>
      </c>
      <c r="R24" s="162"/>
      <c r="S24" s="163">
        <f t="shared" si="13"/>
        <v>92.181292963819999</v>
      </c>
      <c r="T24" s="164">
        <f t="shared" si="14"/>
        <v>11</v>
      </c>
      <c r="U24" s="165">
        <f t="shared" si="15"/>
        <v>3.1613645145254563</v>
      </c>
      <c r="V24" s="166">
        <f t="shared" si="30"/>
        <v>1.2070844841260231</v>
      </c>
      <c r="W24" s="51">
        <v>2.15</v>
      </c>
      <c r="X24" s="167">
        <f t="shared" si="21"/>
        <v>6.488403755225769E-2</v>
      </c>
      <c r="Y24" s="167">
        <f t="shared" si="18"/>
        <v>0.46512448785148336</v>
      </c>
      <c r="Z24" s="167">
        <f t="shared" si="19"/>
        <v>0.13949821874993495</v>
      </c>
      <c r="AA24" s="167">
        <f t="shared" si="22"/>
        <v>7.7300589062642297E-2</v>
      </c>
      <c r="AB24" s="167">
        <f t="shared" si="23"/>
        <v>2.3755040911010057</v>
      </c>
      <c r="AC24" s="167">
        <f t="shared" si="24"/>
        <v>3.7703736146561457</v>
      </c>
      <c r="AD24" s="167">
        <f t="shared" si="25"/>
        <v>0.62449590889899431</v>
      </c>
      <c r="AE24" s="167">
        <f t="shared" si="26"/>
        <v>6.2296263853438543</v>
      </c>
      <c r="AF24" s="167">
        <f t="shared" si="27"/>
        <v>4.8432633461154692E-3</v>
      </c>
      <c r="AG24" s="167">
        <f t="shared" si="28"/>
        <v>3.7438710964022979E-4</v>
      </c>
      <c r="AH24" s="167">
        <f t="shared" si="20"/>
        <v>1.9320162831972618E-3</v>
      </c>
      <c r="AI24" s="167">
        <f t="shared" si="29"/>
        <v>1.2065362647829308E-3</v>
      </c>
      <c r="AJ24" s="162"/>
    </row>
    <row r="25" spans="1:36" ht="15.75" customHeight="1" x14ac:dyDescent="0.2">
      <c r="A25" s="138">
        <f>Реал_Мощность</f>
        <v>1</v>
      </c>
      <c r="B25" s="116">
        <v>10</v>
      </c>
      <c r="C25" s="139">
        <f t="shared" si="0"/>
        <v>8.1524528000000013E-2</v>
      </c>
      <c r="D25" s="140">
        <f t="shared" si="1"/>
        <v>3.3510276064582449E-2</v>
      </c>
      <c r="E25" s="141">
        <f t="shared" si="2"/>
        <v>92.717810300000011</v>
      </c>
      <c r="F25" s="142">
        <f t="shared" si="17"/>
        <v>55.413316209586611</v>
      </c>
      <c r="G25" s="139">
        <f t="shared" si="3"/>
        <v>0.47420681320431662</v>
      </c>
      <c r="H25" s="140">
        <f t="shared" si="4"/>
        <v>0.26051921614995732</v>
      </c>
      <c r="I25" s="143">
        <f t="shared" si="5"/>
        <v>2.270957441725896</v>
      </c>
      <c r="J25" s="144">
        <f t="shared" si="6"/>
        <v>0.63082151159052668</v>
      </c>
      <c r="K25" s="145">
        <f t="shared" si="7"/>
        <v>2694.708272615756</v>
      </c>
      <c r="L25" s="143">
        <f t="shared" si="8"/>
        <v>2.6068849507784071</v>
      </c>
      <c r="M25" s="144">
        <f t="shared" si="9"/>
        <v>0.72413470854955753</v>
      </c>
      <c r="N25" s="146">
        <v>3</v>
      </c>
      <c r="O25" s="147">
        <f t="shared" si="10"/>
        <v>-0.13103834974053097</v>
      </c>
      <c r="P25" s="148">
        <f t="shared" si="11"/>
        <v>1.444561400994965</v>
      </c>
      <c r="Q25" s="149">
        <f t="shared" si="12"/>
        <v>1.4866331182411907</v>
      </c>
      <c r="S25" s="96">
        <f t="shared" si="13"/>
        <v>92.717810300000011</v>
      </c>
      <c r="T25" s="97">
        <f t="shared" si="14"/>
        <v>10</v>
      </c>
      <c r="U25" s="150">
        <f t="shared" si="15"/>
        <v>3.2741540518033436</v>
      </c>
      <c r="V25" s="136">
        <f t="shared" si="30"/>
        <v>1.1752310462831712</v>
      </c>
      <c r="W25" s="51">
        <v>2.2000000000000002</v>
      </c>
      <c r="X25" s="51">
        <f t="shared" si="21"/>
        <v>6.382953421804749E-2</v>
      </c>
      <c r="Y25" s="51">
        <f t="shared" si="18"/>
        <v>0.45413316209586613</v>
      </c>
      <c r="Z25" s="51">
        <f t="shared" si="19"/>
        <v>0.14055246246160122</v>
      </c>
      <c r="AA25" s="51">
        <f t="shared" si="22"/>
        <v>7.4521736313157158E-2</v>
      </c>
      <c r="AB25" s="51">
        <f t="shared" si="23"/>
        <v>2.4500258274141626</v>
      </c>
      <c r="AC25" s="51">
        <f t="shared" si="24"/>
        <v>3.9109260771177468</v>
      </c>
      <c r="AD25" s="51">
        <f t="shared" si="25"/>
        <v>0.54997417258583736</v>
      </c>
      <c r="AE25" s="51">
        <f t="shared" si="26"/>
        <v>6.0890739228822532</v>
      </c>
      <c r="AF25" s="51">
        <f t="shared" si="27"/>
        <v>4.2504358230339764E-3</v>
      </c>
      <c r="AG25" s="51">
        <f t="shared" si="28"/>
        <v>3.1674985762013513E-4</v>
      </c>
      <c r="AH25" s="51">
        <f t="shared" si="20"/>
        <v>1.6178694409943806E-3</v>
      </c>
      <c r="AI25" s="51">
        <f t="shared" si="29"/>
        <v>8.8978640716279572E-4</v>
      </c>
    </row>
    <row r="26" spans="1:36" ht="15.75" customHeight="1" x14ac:dyDescent="0.2">
      <c r="A26" s="138">
        <f>Реал_Мощность</f>
        <v>1</v>
      </c>
      <c r="B26" s="117">
        <v>9</v>
      </c>
      <c r="C26" s="139">
        <f t="shared" si="0"/>
        <v>7.3295034711999996E-2</v>
      </c>
      <c r="D26" s="140">
        <f t="shared" si="1"/>
        <v>2.9969432516683776E-2</v>
      </c>
      <c r="E26" s="141">
        <f t="shared" si="2"/>
        <v>93.283602256640009</v>
      </c>
      <c r="F26" s="142">
        <f t="shared" si="17"/>
        <v>53.020583921478021</v>
      </c>
      <c r="G26" s="139">
        <f t="shared" si="3"/>
        <v>0.45133762791458637</v>
      </c>
      <c r="H26" s="140">
        <f t="shared" si="4"/>
        <v>0.2431889613616984</v>
      </c>
      <c r="I26" s="143">
        <f t="shared" si="5"/>
        <v>2.2255427796997549</v>
      </c>
      <c r="J26" s="144">
        <f t="shared" si="6"/>
        <v>0.61820632769437633</v>
      </c>
      <c r="K26" s="145">
        <f t="shared" si="7"/>
        <v>2696.6611067804356</v>
      </c>
      <c r="L26" s="143">
        <f t="shared" si="8"/>
        <v>2.5405372181389607</v>
      </c>
      <c r="M26" s="144">
        <f t="shared" si="9"/>
        <v>0.70570478281637794</v>
      </c>
      <c r="N26" s="146">
        <v>4</v>
      </c>
      <c r="O26" s="147">
        <f t="shared" si="10"/>
        <v>-0.36486569546525982</v>
      </c>
      <c r="P26" s="148">
        <f t="shared" si="11"/>
        <v>1.3470076677997509</v>
      </c>
      <c r="Q26" s="149">
        <f t="shared" si="12"/>
        <v>1.3862382091177841</v>
      </c>
      <c r="S26" s="96">
        <f t="shared" si="13"/>
        <v>93.283602256640009</v>
      </c>
      <c r="T26" s="97">
        <f t="shared" si="14"/>
        <v>9</v>
      </c>
      <c r="U26" s="150">
        <f t="shared" si="15"/>
        <v>3.4539704017014072</v>
      </c>
      <c r="V26" s="136">
        <f t="shared" si="30"/>
        <v>1.1277844451677268</v>
      </c>
      <c r="W26" s="51">
        <v>2.25</v>
      </c>
      <c r="X26" s="51">
        <f t="shared" si="21"/>
        <v>6.2848258755257291E-2</v>
      </c>
      <c r="Y26" s="51">
        <f t="shared" si="18"/>
        <v>0.44020583921478024</v>
      </c>
      <c r="Z26" s="51">
        <f t="shared" si="19"/>
        <v>0.14277016149391214</v>
      </c>
      <c r="AA26" s="51">
        <f t="shared" si="22"/>
        <v>7.1772632296856806E-2</v>
      </c>
      <c r="AB26" s="51">
        <f t="shared" si="23"/>
        <v>2.5217984597110195</v>
      </c>
      <c r="AC26" s="51">
        <f t="shared" si="24"/>
        <v>4.0536962386116588</v>
      </c>
      <c r="AD26" s="51">
        <f t="shared" si="25"/>
        <v>0.47820154028898054</v>
      </c>
      <c r="AE26" s="51">
        <f t="shared" si="26"/>
        <v>5.9463037613883412</v>
      </c>
      <c r="AF26" s="51">
        <f t="shared" si="27"/>
        <v>3.6402062422373565E-3</v>
      </c>
      <c r="AG26" s="51">
        <f t="shared" si="28"/>
        <v>2.6126718410882463E-4</v>
      </c>
      <c r="AH26" s="51">
        <f t="shared" si="20"/>
        <v>1.3143396039129287E-3</v>
      </c>
      <c r="AI26" s="51">
        <f t="shared" si="29"/>
        <v>6.2851922305397104E-4</v>
      </c>
    </row>
    <row r="27" spans="1:36" ht="15.75" customHeight="1" x14ac:dyDescent="0.2">
      <c r="A27" s="138">
        <f>Реал_Мощность</f>
        <v>1</v>
      </c>
      <c r="B27" s="116">
        <v>8</v>
      </c>
      <c r="C27" s="139">
        <f t="shared" si="0"/>
        <v>6.505728473599999E-2</v>
      </c>
      <c r="D27" s="140">
        <f t="shared" si="1"/>
        <v>2.6462071706481356E-2</v>
      </c>
      <c r="E27" s="141">
        <f t="shared" si="2"/>
        <v>93.880248089599988</v>
      </c>
      <c r="F27" s="142">
        <f t="shared" si="17"/>
        <v>50.271451363397993</v>
      </c>
      <c r="G27" s="139">
        <f t="shared" si="3"/>
        <v>0.42551889030821166</v>
      </c>
      <c r="H27" s="140">
        <f t="shared" si="4"/>
        <v>0.22440724353636413</v>
      </c>
      <c r="I27" s="143">
        <f t="shared" si="5"/>
        <v>2.176405488199447</v>
      </c>
      <c r="J27" s="144">
        <f t="shared" si="6"/>
        <v>0.60455708005540199</v>
      </c>
      <c r="K27" s="145">
        <f t="shared" si="7"/>
        <v>2698.6521698134388</v>
      </c>
      <c r="L27" s="143">
        <f t="shared" si="8"/>
        <v>2.4684732811771948</v>
      </c>
      <c r="M27" s="144">
        <f t="shared" si="9"/>
        <v>0.68568702254922076</v>
      </c>
      <c r="N27" s="146">
        <v>5</v>
      </c>
      <c r="O27" s="147">
        <f t="shared" si="10"/>
        <v>-0.50630534376456104</v>
      </c>
      <c r="P27" s="148">
        <f t="shared" si="11"/>
        <v>1.2409373449654681</v>
      </c>
      <c r="Q27" s="149">
        <f t="shared" si="12"/>
        <v>1.2770786713651003</v>
      </c>
      <c r="W27" s="51">
        <v>2.2999999999999998</v>
      </c>
      <c r="X27" s="51">
        <f t="shared" si="21"/>
        <v>6.1960276991796515E-2</v>
      </c>
      <c r="Y27" s="51">
        <f t="shared" si="18"/>
        <v>0.42271451363397994</v>
      </c>
      <c r="Z27" s="51">
        <f t="shared" si="19"/>
        <v>0.1465771223683289</v>
      </c>
      <c r="AA27" s="51">
        <f t="shared" si="22"/>
        <v>6.901983120543595E-2</v>
      </c>
      <c r="AB27" s="51">
        <f t="shared" si="23"/>
        <v>2.5908182909164554</v>
      </c>
      <c r="AC27" s="51">
        <f t="shared" si="24"/>
        <v>4.2002733609799874</v>
      </c>
      <c r="AD27" s="51">
        <f t="shared" si="25"/>
        <v>0.40918170908354456</v>
      </c>
      <c r="AE27" s="51">
        <f t="shared" si="26"/>
        <v>5.7997266390200126</v>
      </c>
      <c r="AF27" s="51">
        <f t="shared" si="27"/>
        <v>3.0229810889997356E-3</v>
      </c>
      <c r="AG27" s="51">
        <f t="shared" si="28"/>
        <v>2.086456444999867E-4</v>
      </c>
      <c r="AH27" s="51">
        <f t="shared" si="20"/>
        <v>1.0261298812559013E-3</v>
      </c>
      <c r="AI27" s="51">
        <f t="shared" si="29"/>
        <v>4.1987357855398431E-4</v>
      </c>
    </row>
    <row r="28" spans="1:36" ht="15.75" customHeight="1" x14ac:dyDescent="0.2">
      <c r="A28" s="138">
        <f>Реал_Мощность</f>
        <v>1</v>
      </c>
      <c r="B28" s="117">
        <v>7</v>
      </c>
      <c r="C28" s="139">
        <f t="shared" si="0"/>
        <v>5.6809617703999997E-2</v>
      </c>
      <c r="D28" s="140">
        <f t="shared" si="1"/>
        <v>2.2987030221278494E-2</v>
      </c>
      <c r="E28" s="141">
        <f t="shared" si="2"/>
        <v>94.509387061460018</v>
      </c>
      <c r="F28" s="142">
        <f t="shared" si="17"/>
        <v>47.087724257540174</v>
      </c>
      <c r="G28" s="139">
        <f t="shared" si="3"/>
        <v>0.39618554513683896</v>
      </c>
      <c r="H28" s="140">
        <f t="shared" si="4"/>
        <v>0.20401422951845632</v>
      </c>
      <c r="I28" s="143">
        <f t="shared" si="5"/>
        <v>2.1231478271070978</v>
      </c>
      <c r="J28" s="144">
        <f t="shared" si="6"/>
        <v>0.5897632853075272</v>
      </c>
      <c r="K28" s="145">
        <f t="shared" si="7"/>
        <v>2700.6725530870026</v>
      </c>
      <c r="L28" s="143">
        <f t="shared" si="8"/>
        <v>2.3900243483560484</v>
      </c>
      <c r="M28" s="144">
        <f t="shared" si="9"/>
        <v>0.66389565232112457</v>
      </c>
      <c r="N28" s="146">
        <v>6</v>
      </c>
      <c r="O28" s="147">
        <f t="shared" si="10"/>
        <v>-0.60166260860732523</v>
      </c>
      <c r="P28" s="148">
        <f t="shared" si="11"/>
        <v>1.1254080748419675</v>
      </c>
      <c r="Q28" s="149">
        <f t="shared" si="12"/>
        <v>1.1581847019059046</v>
      </c>
      <c r="W28" s="51">
        <v>2.35</v>
      </c>
      <c r="X28" s="51">
        <f t="shared" si="21"/>
        <v>6.1198110742343714E-2</v>
      </c>
      <c r="Y28" s="51">
        <f t="shared" si="18"/>
        <v>0.40087724257540175</v>
      </c>
      <c r="Z28" s="51">
        <f t="shared" si="19"/>
        <v>0.15266047618263801</v>
      </c>
      <c r="AA28" s="51">
        <f t="shared" si="22"/>
        <v>6.6211578405750385E-2</v>
      </c>
      <c r="AB28" s="51">
        <f t="shared" si="23"/>
        <v>2.6570298693222059</v>
      </c>
      <c r="AC28" s="51">
        <f t="shared" si="24"/>
        <v>4.3529338371626256</v>
      </c>
      <c r="AD28" s="51">
        <f t="shared" si="25"/>
        <v>0.34297013067779414</v>
      </c>
      <c r="AE28" s="51">
        <f t="shared" si="26"/>
        <v>5.6470661628373744</v>
      </c>
      <c r="AF28" s="51">
        <f t="shared" si="27"/>
        <v>2.4114052209513685E-3</v>
      </c>
      <c r="AG28" s="51">
        <f t="shared" si="28"/>
        <v>1.5966294585505737E-4</v>
      </c>
      <c r="AH28" s="51">
        <f t="shared" si="20"/>
        <v>7.5869765155550466E-4</v>
      </c>
      <c r="AI28" s="51">
        <f t="shared" si="29"/>
        <v>2.6021063269892697E-4</v>
      </c>
    </row>
    <row r="29" spans="1:36" ht="15.75" customHeight="1" x14ac:dyDescent="0.2">
      <c r="A29" s="138">
        <f>Реал_Мощность</f>
        <v>1</v>
      </c>
      <c r="B29" s="116">
        <v>6</v>
      </c>
      <c r="C29" s="139">
        <f t="shared" si="0"/>
        <v>4.8550373247999996E-2</v>
      </c>
      <c r="D29" s="140">
        <f t="shared" si="1"/>
        <v>1.9543182090837302E-2</v>
      </c>
      <c r="E29" s="141">
        <f t="shared" si="2"/>
        <v>95.172719594719993</v>
      </c>
      <c r="F29" s="142">
        <f t="shared" si="17"/>
        <v>43.371788207012415</v>
      </c>
      <c r="G29" s="139">
        <f t="shared" si="3"/>
        <v>0.36264975012219702</v>
      </c>
      <c r="H29" s="140">
        <f t="shared" si="4"/>
        <v>0.18184619265275881</v>
      </c>
      <c r="I29" s="143">
        <f t="shared" si="5"/>
        <v>2.0653666414457899</v>
      </c>
      <c r="J29" s="144">
        <f t="shared" si="6"/>
        <v>0.57371295595716387</v>
      </c>
      <c r="K29" s="145">
        <f t="shared" si="7"/>
        <v>2702.7132498934516</v>
      </c>
      <c r="L29" s="143">
        <f t="shared" si="8"/>
        <v>2.3044927076453217</v>
      </c>
      <c r="M29" s="144">
        <f t="shared" si="9"/>
        <v>0.64013686323481156</v>
      </c>
      <c r="N29" s="146">
        <v>7</v>
      </c>
      <c r="O29" s="147">
        <f t="shared" si="10"/>
        <v>-0.67078675605066829</v>
      </c>
      <c r="P29" s="148">
        <f t="shared" si="11"/>
        <v>0.99949969640597469</v>
      </c>
      <c r="Q29" s="149">
        <f t="shared" si="12"/>
        <v>1.0286093407491765</v>
      </c>
      <c r="W29" s="51">
        <v>2.4</v>
      </c>
      <c r="X29" s="51">
        <f t="shared" si="21"/>
        <v>6.0616822535925402E-2</v>
      </c>
      <c r="Y29" s="51">
        <f t="shared" si="18"/>
        <v>0.37371788207012413</v>
      </c>
      <c r="Z29" s="51">
        <f t="shared" si="19"/>
        <v>0.16219941684393713</v>
      </c>
      <c r="AA29" s="51">
        <f t="shared" si="22"/>
        <v>6.3260035336454995E-2</v>
      </c>
      <c r="AB29" s="51">
        <f t="shared" si="23"/>
        <v>2.7202899046586611</v>
      </c>
      <c r="AC29" s="51">
        <f t="shared" si="24"/>
        <v>4.515133254006563</v>
      </c>
      <c r="AD29" s="51">
        <f t="shared" si="25"/>
        <v>0.27971009534133895</v>
      </c>
      <c r="AE29" s="51">
        <f t="shared" si="26"/>
        <v>5.484866745993437</v>
      </c>
      <c r="AF29" s="51">
        <f t="shared" si="27"/>
        <v>1.8208743637332112E-3</v>
      </c>
      <c r="AG29" s="51">
        <f t="shared" si="28"/>
        <v>1.1518857659300794E-4</v>
      </c>
      <c r="AH29" s="51">
        <f t="shared" si="20"/>
        <v>5.184727277324191E-4</v>
      </c>
      <c r="AI29" s="51">
        <f t="shared" si="29"/>
        <v>1.4502205610591903E-4</v>
      </c>
    </row>
    <row r="30" spans="1:36" ht="15.75" customHeight="1" x14ac:dyDescent="0.2">
      <c r="A30" s="138">
        <f>Реал_Мощность</f>
        <v>1</v>
      </c>
      <c r="B30" s="117">
        <v>5</v>
      </c>
      <c r="C30" s="139">
        <f t="shared" si="0"/>
        <v>4.0277890999999996E-2</v>
      </c>
      <c r="D30" s="140">
        <f t="shared" si="1"/>
        <v>1.6129437568800156E-2</v>
      </c>
      <c r="E30" s="141">
        <f t="shared" si="2"/>
        <v>95.87200842499999</v>
      </c>
      <c r="F30" s="142">
        <f t="shared" si="17"/>
        <v>39.001395052684863</v>
      </c>
      <c r="G30" s="139">
        <f t="shared" si="3"/>
        <v>0.32406371100228382</v>
      </c>
      <c r="H30" s="140">
        <f t="shared" si="4"/>
        <v>0.1577366386549251</v>
      </c>
      <c r="I30" s="143">
        <f t="shared" si="5"/>
        <v>2.0026569909091663</v>
      </c>
      <c r="J30" s="144">
        <f t="shared" si="6"/>
        <v>0.55629360858587951</v>
      </c>
      <c r="K30" s="145">
        <f t="shared" si="7"/>
        <v>2704.7653099971017</v>
      </c>
      <c r="L30" s="143">
        <f t="shared" si="8"/>
        <v>2.2111584725712574</v>
      </c>
      <c r="M30" s="144">
        <f t="shared" si="9"/>
        <v>0.61421068682534929</v>
      </c>
      <c r="N30" s="146">
        <v>8</v>
      </c>
      <c r="O30" s="147">
        <f t="shared" si="10"/>
        <v>-0.72360519092859277</v>
      </c>
      <c r="P30" s="148">
        <f t="shared" si="11"/>
        <v>0.8623826511284286</v>
      </c>
      <c r="Q30" s="149">
        <f t="shared" si="12"/>
        <v>0.88749886912465625</v>
      </c>
      <c r="W30" s="51">
        <v>2.4500000000000002</v>
      </c>
      <c r="X30" s="51">
        <f t="shared" si="21"/>
        <v>6.0315425501601544E-2</v>
      </c>
      <c r="Y30" s="51">
        <f t="shared" si="18"/>
        <v>0.34001395052684863</v>
      </c>
      <c r="Z30" s="51">
        <f t="shared" si="19"/>
        <v>0.17739103177426491</v>
      </c>
      <c r="AA30" s="51">
        <f t="shared" si="22"/>
        <v>5.9998572624739559E-2</v>
      </c>
      <c r="AB30" s="51">
        <f t="shared" si="23"/>
        <v>2.7802884772834005</v>
      </c>
      <c r="AC30" s="51">
        <f t="shared" si="24"/>
        <v>4.692524285780828</v>
      </c>
      <c r="AD30" s="51">
        <f t="shared" si="25"/>
        <v>0.21971152271659955</v>
      </c>
      <c r="AE30" s="51">
        <f t="shared" si="26"/>
        <v>5.307475714219172</v>
      </c>
      <c r="AF30" s="51">
        <f t="shared" si="27"/>
        <v>1.270258182944427E-3</v>
      </c>
      <c r="AG30" s="51">
        <f t="shared" si="28"/>
        <v>7.6213677841560913E-5</v>
      </c>
      <c r="AH30" s="51">
        <f t="shared" si="20"/>
        <v>3.1317601104204415E-4</v>
      </c>
      <c r="AI30" s="51">
        <f t="shared" si="29"/>
        <v>6.8808378264358119E-5</v>
      </c>
    </row>
    <row r="31" spans="1:36" ht="15.75" customHeight="1" x14ac:dyDescent="0.2">
      <c r="A31" s="138">
        <f>Реал_Мощность</f>
        <v>1</v>
      </c>
      <c r="B31" s="116">
        <v>4</v>
      </c>
      <c r="C31" s="139">
        <f t="shared" si="0"/>
        <v>3.1990510592000004E-2</v>
      </c>
      <c r="D31" s="140">
        <f t="shared" si="1"/>
        <v>1.2744741970579423E-2</v>
      </c>
      <c r="E31" s="141">
        <f t="shared" si="2"/>
        <v>96.60907975424</v>
      </c>
      <c r="F31" s="142">
        <f t="shared" si="17"/>
        <v>33.822776734896856</v>
      </c>
      <c r="G31" s="139">
        <f t="shared" si="3"/>
        <v>0.27935832468464028</v>
      </c>
      <c r="H31" s="140">
        <f t="shared" si="4"/>
        <v>0.13151218877605411</v>
      </c>
      <c r="I31" s="143">
        <f t="shared" si="5"/>
        <v>1.9346022230865723</v>
      </c>
      <c r="J31" s="144">
        <f t="shared" si="6"/>
        <v>0.5373895064129367</v>
      </c>
      <c r="K31" s="145">
        <f t="shared" si="7"/>
        <v>2706.8193264791307</v>
      </c>
      <c r="L31" s="143">
        <f t="shared" si="8"/>
        <v>2.10927425572847</v>
      </c>
      <c r="M31" s="144">
        <f t="shared" si="9"/>
        <v>0.58590951548013059</v>
      </c>
      <c r="N31" s="146">
        <v>9</v>
      </c>
      <c r="O31" s="147">
        <f t="shared" si="10"/>
        <v>-0.76563619380794767</v>
      </c>
      <c r="P31" s="148">
        <f t="shared" si="11"/>
        <v>0.71341512224169779</v>
      </c>
      <c r="Q31" s="149">
        <f t="shared" si="12"/>
        <v>0.73419277785499415</v>
      </c>
      <c r="W31" s="51">
        <v>2.5</v>
      </c>
      <c r="X31" s="51">
        <f t="shared" si="21"/>
        <v>6.048725129002458E-2</v>
      </c>
      <c r="Y31" s="51">
        <f t="shared" si="18"/>
        <v>0.29822776734896855</v>
      </c>
      <c r="Z31" s="51">
        <f t="shared" si="19"/>
        <v>0.20282233216481804</v>
      </c>
      <c r="AA31" s="51">
        <f t="shared" si="22"/>
        <v>5.6062514480051666E-2</v>
      </c>
      <c r="AB31" s="51">
        <f t="shared" si="23"/>
        <v>2.8363509917634522</v>
      </c>
      <c r="AC31" s="51">
        <f t="shared" si="24"/>
        <v>4.8953466179456457</v>
      </c>
      <c r="AD31" s="51">
        <f t="shared" si="25"/>
        <v>0.16364900823654782</v>
      </c>
      <c r="AE31" s="51">
        <f t="shared" si="26"/>
        <v>5.1046533820543543</v>
      </c>
      <c r="AF31" s="51">
        <f t="shared" si="27"/>
        <v>7.8294002760511034E-4</v>
      </c>
      <c r="AG31" s="51">
        <f t="shared" si="28"/>
        <v>4.389358663462355E-5</v>
      </c>
      <c r="AH31" s="51">
        <f t="shared" si="20"/>
        <v>1.5224529557625717E-4</v>
      </c>
      <c r="AI31" s="51">
        <f t="shared" si="29"/>
        <v>2.4914791629734569E-5</v>
      </c>
    </row>
    <row r="32" spans="1:36" ht="15.75" customHeight="1" x14ac:dyDescent="0.2">
      <c r="A32" s="138">
        <f>Реал_Мощность</f>
        <v>1</v>
      </c>
      <c r="B32" s="117">
        <v>3</v>
      </c>
      <c r="C32" s="139">
        <f t="shared" si="0"/>
        <v>2.3686571656000001E-2</v>
      </c>
      <c r="D32" s="140">
        <f t="shared" si="1"/>
        <v>9.3880745646026092E-3</v>
      </c>
      <c r="E32" s="141">
        <f t="shared" si="2"/>
        <v>97.385824403900003</v>
      </c>
      <c r="F32" s="142">
        <f t="shared" si="17"/>
        <v>27.641194084334852</v>
      </c>
      <c r="G32" s="139">
        <f t="shared" si="3"/>
        <v>0.22713240220388264</v>
      </c>
      <c r="H32" s="140">
        <f t="shared" si="4"/>
        <v>0.10297644102306391</v>
      </c>
      <c r="I32" s="143">
        <f t="shared" si="5"/>
        <v>1.8607331992918794</v>
      </c>
      <c r="J32" s="144">
        <f t="shared" si="6"/>
        <v>0.51687033313663311</v>
      </c>
      <c r="K32" s="145">
        <f t="shared" si="7"/>
        <v>2708.8633927587211</v>
      </c>
      <c r="L32" s="143">
        <f t="shared" si="8"/>
        <v>1.9980309238125544</v>
      </c>
      <c r="M32" s="144">
        <f t="shared" si="9"/>
        <v>0.55500858994793179</v>
      </c>
      <c r="N32" s="146">
        <v>10</v>
      </c>
      <c r="O32" s="147">
        <f t="shared" si="10"/>
        <v>-0.80019690761874462</v>
      </c>
      <c r="P32" s="148">
        <f t="shared" si="11"/>
        <v>0.55227960551605682</v>
      </c>
      <c r="Q32" s="149">
        <f t="shared" si="12"/>
        <v>0.56836431564892131</v>
      </c>
      <c r="V32" s="168"/>
      <c r="W32" s="51">
        <v>2.65</v>
      </c>
      <c r="X32" s="51">
        <f t="shared" si="21"/>
        <v>6.1555940595460559E-2</v>
      </c>
      <c r="Y32" s="51">
        <f t="shared" si="18"/>
        <v>0.24641194084334853</v>
      </c>
      <c r="Z32" s="51">
        <f t="shared" si="19"/>
        <v>0.24980908143000066</v>
      </c>
      <c r="AA32" s="51">
        <f t="shared" si="22"/>
        <v>5.047839457983945E-2</v>
      </c>
      <c r="AB32" s="51">
        <f t="shared" si="23"/>
        <v>2.8868293863432917</v>
      </c>
      <c r="AC32" s="51">
        <f t="shared" si="24"/>
        <v>5.1451556993756462</v>
      </c>
      <c r="AD32" s="51">
        <f t="shared" si="25"/>
        <v>0.11317061365670833</v>
      </c>
      <c r="AE32" s="51">
        <f t="shared" si="26"/>
        <v>4.8548443006243538</v>
      </c>
      <c r="AF32" s="51">
        <f t="shared" si="27"/>
        <v>4.0345003327708147E-4</v>
      </c>
      <c r="AG32" s="51">
        <f t="shared" si="28"/>
        <v>2.0365509973009875E-5</v>
      </c>
      <c r="AH32" s="51">
        <f t="shared" si="20"/>
        <v>4.019843588128347E-5</v>
      </c>
      <c r="AI32" s="51">
        <f t="shared" si="29"/>
        <v>4.5492816567246936E-6</v>
      </c>
    </row>
    <row r="33" spans="1:36" ht="15.75" customHeight="1" x14ac:dyDescent="0.2">
      <c r="A33" s="138">
        <f>Реал_Мощность</f>
        <v>1</v>
      </c>
      <c r="B33" s="116">
        <v>2</v>
      </c>
      <c r="C33" s="139">
        <f t="shared" si="0"/>
        <v>1.5364413823999999E-2</v>
      </c>
      <c r="D33" s="140">
        <f t="shared" si="1"/>
        <v>6.0584475139796078E-3</v>
      </c>
      <c r="E33" s="141">
        <f t="shared" si="2"/>
        <v>98.204198968160014</v>
      </c>
      <c r="F33" s="142">
        <f t="shared" si="17"/>
        <v>20.206789237157523</v>
      </c>
      <c r="G33" s="139">
        <f t="shared" si="3"/>
        <v>0.1654353986359765</v>
      </c>
      <c r="H33" s="140">
        <f t="shared" si="4"/>
        <v>7.1868415372019476E-2</v>
      </c>
      <c r="I33" s="143">
        <f t="shared" si="5"/>
        <v>1.7804228014733312</v>
      </c>
      <c r="J33" s="144">
        <f t="shared" si="6"/>
        <v>0.49456188929814754</v>
      </c>
      <c r="K33" s="145">
        <f t="shared" si="7"/>
        <v>2710.8778312555787</v>
      </c>
      <c r="L33" s="143">
        <f t="shared" si="8"/>
        <v>1.8764607538781957</v>
      </c>
      <c r="M33" s="144">
        <f t="shared" si="9"/>
        <v>0.52123909829949877</v>
      </c>
      <c r="N33" s="146">
        <v>11</v>
      </c>
      <c r="O33" s="147">
        <f t="shared" si="10"/>
        <v>-0.82941265873834591</v>
      </c>
      <c r="P33" s="148">
        <f t="shared" si="11"/>
        <v>0.37917246965414414</v>
      </c>
      <c r="Q33" s="149">
        <f t="shared" si="12"/>
        <v>0.39021557029344872</v>
      </c>
      <c r="V33" s="168"/>
      <c r="W33" s="51">
        <v>2.7</v>
      </c>
      <c r="X33" s="51">
        <f t="shared" si="21"/>
        <v>6.4622170650464703E-2</v>
      </c>
      <c r="Y33" s="51">
        <f t="shared" si="18"/>
        <v>0.18206789237157522</v>
      </c>
      <c r="Z33" s="51">
        <f t="shared" si="19"/>
        <v>0.35493446872323786</v>
      </c>
      <c r="AA33" s="51">
        <f t="shared" si="22"/>
        <v>3.9708869559769815E-2</v>
      </c>
      <c r="AB33" s="51">
        <f t="shared" si="23"/>
        <v>2.9265382559030613</v>
      </c>
      <c r="AC33" s="51">
        <f t="shared" si="24"/>
        <v>5.5000901680988843</v>
      </c>
      <c r="AD33" s="51">
        <f t="shared" si="25"/>
        <v>7.346174409693873E-2</v>
      </c>
      <c r="AE33" s="51">
        <f t="shared" si="26"/>
        <v>4.4999098319011157</v>
      </c>
      <c r="AF33" s="51">
        <f t="shared" si="27"/>
        <v>1.0853577687946537E-4</v>
      </c>
      <c r="AG33" s="51">
        <f t="shared" si="28"/>
        <v>4.3098330066749712E-6</v>
      </c>
      <c r="AH33" s="51">
        <f t="shared" si="20"/>
        <v>3.2595012954463817E-6</v>
      </c>
      <c r="AI33" s="51">
        <f t="shared" si="29"/>
        <v>2.3944865004972239E-7</v>
      </c>
    </row>
    <row r="34" spans="1:36" ht="18.75" customHeight="1" x14ac:dyDescent="0.2">
      <c r="A34" s="138">
        <f>Реал_Мощность</f>
        <v>1</v>
      </c>
      <c r="B34" s="117">
        <v>1</v>
      </c>
      <c r="C34" s="139">
        <f t="shared" si="0"/>
        <v>7.0223767279999991E-3</v>
      </c>
      <c r="D34" s="140">
        <f t="shared" si="1"/>
        <v>2.7549048658263697E-3</v>
      </c>
      <c r="E34" s="141">
        <f t="shared" si="2"/>
        <v>99.066226967120002</v>
      </c>
      <c r="F34" s="142">
        <f t="shared" si="17"/>
        <v>11.187662247233877</v>
      </c>
      <c r="G34" s="139">
        <f t="shared" si="3"/>
        <v>9.1289952128336557E-2</v>
      </c>
      <c r="H34" s="140">
        <f t="shared" si="4"/>
        <v>3.7760761723120442E-2</v>
      </c>
      <c r="I34" s="143">
        <f t="shared" si="5"/>
        <v>1.6926278456414316</v>
      </c>
      <c r="J34" s="144">
        <f t="shared" si="6"/>
        <v>0.47017440156706436</v>
      </c>
      <c r="K34" s="145">
        <f t="shared" si="7"/>
        <v>2712.8222842281675</v>
      </c>
      <c r="L34" s="143">
        <f t="shared" si="8"/>
        <v>1.7431780901617153</v>
      </c>
      <c r="M34" s="144">
        <f t="shared" si="9"/>
        <v>0.48421613615603204</v>
      </c>
      <c r="N34" s="169">
        <v>6.5000000000000002E-2</v>
      </c>
      <c r="O34" s="147">
        <f t="shared" si="10"/>
        <v>25.81812446402639</v>
      </c>
      <c r="P34" s="148">
        <f t="shared" si="11"/>
        <v>0.19502087709507474</v>
      </c>
      <c r="Q34" s="149">
        <f t="shared" si="12"/>
        <v>0.20070070710617965</v>
      </c>
      <c r="W34" s="51">
        <v>2.2999999999999998</v>
      </c>
      <c r="X34" s="51">
        <f t="shared" si="21"/>
        <v>5.0962194937433328E-2</v>
      </c>
      <c r="Y34" s="51">
        <f t="shared" si="18"/>
        <v>0.10187662247233878</v>
      </c>
      <c r="Z34" s="51">
        <f t="shared" si="19"/>
        <v>0.50023443750572338</v>
      </c>
      <c r="AA34" s="51">
        <f t="shared" si="22"/>
        <v>2.9702259306410572E-2</v>
      </c>
      <c r="AB34" s="51">
        <f t="shared" si="23"/>
        <v>2.9562405152094717</v>
      </c>
      <c r="AC34" s="51">
        <f t="shared" si="24"/>
        <v>6.0003246056046073</v>
      </c>
      <c r="AD34" s="51">
        <f t="shared" si="25"/>
        <v>4.3759484790528269E-2</v>
      </c>
      <c r="AE34" s="51">
        <f t="shared" si="26"/>
        <v>3.9996753943953927</v>
      </c>
      <c r="AF34" s="51">
        <f t="shared" si="27"/>
        <v>7.4968529795266774E-6</v>
      </c>
      <c r="AG34" s="51">
        <f t="shared" si="28"/>
        <v>2.2267347117993808E-7</v>
      </c>
      <c r="AH34" s="51">
        <f t="shared" si="20"/>
        <v>3.8334955153346068E-7</v>
      </c>
      <c r="AI34" s="51">
        <f t="shared" si="29"/>
        <v>1.6775178869784305E-8</v>
      </c>
    </row>
    <row r="35" spans="1:36" ht="15.75" customHeight="1" x14ac:dyDescent="0.2">
      <c r="A35" s="151">
        <f>Реал_Мощность</f>
        <v>1</v>
      </c>
      <c r="B35" s="116">
        <v>0.5</v>
      </c>
      <c r="C35" s="152">
        <f t="shared" si="0"/>
        <v>2.8433845909999998E-3</v>
      </c>
      <c r="D35" s="153">
        <f t="shared" si="1"/>
        <v>1.112624937163654E-3</v>
      </c>
      <c r="E35" s="154">
        <f t="shared" si="2"/>
        <v>99.514261938495309</v>
      </c>
      <c r="F35" s="155">
        <f t="shared" si="17"/>
        <v>5.9376678372069769</v>
      </c>
      <c r="G35" s="152">
        <f t="shared" si="3"/>
        <v>4.8035135573568449E-2</v>
      </c>
      <c r="H35" s="153">
        <f t="shared" si="4"/>
        <v>1.9329527368439611E-2</v>
      </c>
      <c r="I35" s="156">
        <f t="shared" si="5"/>
        <v>1.6452973762109007</v>
      </c>
      <c r="J35" s="157">
        <f t="shared" si="6"/>
        <v>0.45702704894747237</v>
      </c>
      <c r="K35" s="158">
        <f t="shared" si="7"/>
        <v>2713.7406775137133</v>
      </c>
      <c r="L35" s="156">
        <f t="shared" si="8"/>
        <v>1.6713758839560768</v>
      </c>
      <c r="M35" s="157">
        <f t="shared" si="9"/>
        <v>0.464271078876688</v>
      </c>
      <c r="N35" s="170">
        <v>0.3</v>
      </c>
      <c r="O35" s="157">
        <f t="shared" si="10"/>
        <v>4.5712529465202563</v>
      </c>
      <c r="P35" s="160">
        <f t="shared" si="11"/>
        <v>9.9240748300493772E-2</v>
      </c>
      <c r="Q35" s="161">
        <f t="shared" si="12"/>
        <v>0.10213105721981454</v>
      </c>
      <c r="R35" s="162"/>
      <c r="S35" s="162"/>
      <c r="T35" s="162"/>
      <c r="U35" s="162"/>
      <c r="V35" s="162"/>
      <c r="W35" s="51">
        <v>2.35</v>
      </c>
      <c r="X35" s="167">
        <f t="shared" si="21"/>
        <v>8.3756238734482291E-2</v>
      </c>
      <c r="Y35" s="167">
        <f t="shared" si="18"/>
        <v>5.4376678372069769E-2</v>
      </c>
      <c r="Z35" s="167">
        <f t="shared" si="19"/>
        <v>1.540297076650845</v>
      </c>
      <c r="AA35" s="167" t="e">
        <f t="shared" si="22"/>
        <v>#NUM!</v>
      </c>
      <c r="AB35" s="167" t="e">
        <f t="shared" si="23"/>
        <v>#NUM!</v>
      </c>
      <c r="AC35" s="167">
        <f t="shared" si="24"/>
        <v>7.5406216822554519</v>
      </c>
      <c r="AD35" s="167" t="e">
        <f t="shared" si="25"/>
        <v>#NUM!</v>
      </c>
      <c r="AE35" s="167">
        <f t="shared" si="26"/>
        <v>2.4593783177445481</v>
      </c>
      <c r="AF35" s="167">
        <f t="shared" si="27"/>
        <v>9.0087144610363257E-7</v>
      </c>
      <c r="AG35" s="167" t="e">
        <f t="shared" si="28"/>
        <v>#NUM!</v>
      </c>
      <c r="AH35" s="167" t="e">
        <f t="shared" si="20"/>
        <v>#NUM!</v>
      </c>
      <c r="AI35" s="167" t="e">
        <f t="shared" si="29"/>
        <v>#NUM!</v>
      </c>
      <c r="AJ35" s="162"/>
    </row>
    <row r="36" spans="1:36" ht="15.75" customHeight="1" x14ac:dyDescent="0.2">
      <c r="A36" s="138">
        <f>Реал_Мощность</f>
        <v>1</v>
      </c>
      <c r="B36" s="117">
        <v>-1</v>
      </c>
      <c r="C36" s="139">
        <f t="shared" si="0"/>
        <v>-9.7279767279999999E-3</v>
      </c>
      <c r="D36" s="140">
        <f t="shared" si="1"/>
        <v>-3.7775973657622865E-3</v>
      </c>
      <c r="E36" s="141">
        <f t="shared" si="2"/>
        <v>100.92967889834</v>
      </c>
      <c r="F36" s="142" t="e">
        <f t="shared" si="17"/>
        <v>#NUM!</v>
      </c>
      <c r="G36" s="139" t="e">
        <f t="shared" si="3"/>
        <v>#NUM!</v>
      </c>
      <c r="H36" s="140" t="e">
        <f t="shared" si="4"/>
        <v>#NUM!</v>
      </c>
      <c r="I36" s="143" t="e">
        <f t="shared" si="5"/>
        <v>#NUM!</v>
      </c>
      <c r="J36" s="144" t="e">
        <f t="shared" si="6"/>
        <v>#NUM!</v>
      </c>
      <c r="K36" s="145" t="e">
        <f t="shared" si="7"/>
        <v>#NUM!</v>
      </c>
      <c r="L36" s="143" t="e">
        <f t="shared" si="8"/>
        <v>#NUM!</v>
      </c>
      <c r="M36" s="144" t="e">
        <f t="shared" si="9"/>
        <v>#NUM!</v>
      </c>
      <c r="N36" s="146">
        <v>14</v>
      </c>
      <c r="O36" s="147" t="e">
        <f t="shared" si="10"/>
        <v>#NUM!</v>
      </c>
      <c r="P36" s="148" t="e">
        <f t="shared" si="11"/>
        <v>#NUM!</v>
      </c>
      <c r="Q36" s="149" t="e">
        <f t="shared" si="12"/>
        <v>#NUM!</v>
      </c>
      <c r="W36" s="51">
        <v>2.4</v>
      </c>
      <c r="X36" s="51" t="e">
        <f t="shared" si="21"/>
        <v>#NUM!</v>
      </c>
      <c r="Y36" s="51" t="e">
        <f t="shared" si="18"/>
        <v>#NUM!</v>
      </c>
      <c r="Z36" s="51" t="e">
        <f t="shared" si="19"/>
        <v>#NUM!</v>
      </c>
      <c r="AA36" s="51" t="e">
        <f t="shared" si="22"/>
        <v>#NUM!</v>
      </c>
      <c r="AB36" s="51" t="e">
        <f t="shared" si="23"/>
        <v>#NUM!</v>
      </c>
      <c r="AC36" s="51" t="e">
        <f t="shared" si="24"/>
        <v>#NUM!</v>
      </c>
      <c r="AD36" s="51" t="e">
        <f t="shared" si="25"/>
        <v>#NUM!</v>
      </c>
      <c r="AE36" s="51" t="e">
        <f t="shared" si="26"/>
        <v>#NUM!</v>
      </c>
      <c r="AF36" s="51" t="e">
        <f t="shared" si="27"/>
        <v>#NUM!</v>
      </c>
      <c r="AG36" s="51" t="e">
        <f t="shared" si="28"/>
        <v>#NUM!</v>
      </c>
      <c r="AH36" s="51" t="e">
        <f t="shared" si="20"/>
        <v>#NUM!</v>
      </c>
      <c r="AI36" s="51" t="e">
        <f t="shared" si="29"/>
        <v>#NUM!</v>
      </c>
    </row>
    <row r="37" spans="1:36" ht="15.75" customHeight="1" x14ac:dyDescent="0.2">
      <c r="A37" s="138">
        <f>Реал_Мощность</f>
        <v>1</v>
      </c>
      <c r="B37" s="116">
        <v>-2</v>
      </c>
      <c r="C37" s="139">
        <f t="shared" si="0"/>
        <v>-1.8139613823999999E-2</v>
      </c>
      <c r="D37" s="140">
        <f t="shared" si="1"/>
        <v>-7.008317914987283E-3</v>
      </c>
      <c r="E37" s="141">
        <f t="shared" si="2"/>
        <v>101.93549487919999</v>
      </c>
      <c r="F37" s="142" t="e">
        <f t="shared" si="17"/>
        <v>#NUM!</v>
      </c>
      <c r="G37" s="139" t="e">
        <f t="shared" si="3"/>
        <v>#NUM!</v>
      </c>
      <c r="H37" s="140" t="e">
        <f t="shared" si="4"/>
        <v>#NUM!</v>
      </c>
      <c r="I37" s="143" t="e">
        <f t="shared" si="5"/>
        <v>#NUM!</v>
      </c>
      <c r="J37" s="144" t="e">
        <f t="shared" si="6"/>
        <v>#NUM!</v>
      </c>
      <c r="K37" s="145" t="e">
        <f t="shared" si="7"/>
        <v>#NUM!</v>
      </c>
      <c r="L37" s="143" t="e">
        <f t="shared" si="8"/>
        <v>#NUM!</v>
      </c>
      <c r="M37" s="144" t="e">
        <f t="shared" si="9"/>
        <v>#NUM!</v>
      </c>
      <c r="N37" s="146">
        <v>15</v>
      </c>
      <c r="O37" s="147" t="e">
        <f t="shared" si="10"/>
        <v>#NUM!</v>
      </c>
      <c r="P37" s="148" t="e">
        <f t="shared" si="11"/>
        <v>#NUM!</v>
      </c>
      <c r="Q37" s="149" t="e">
        <f t="shared" si="12"/>
        <v>#NUM!</v>
      </c>
      <c r="W37" s="51">
        <v>2.4500000000000002</v>
      </c>
      <c r="X37" s="51" t="e">
        <f t="shared" si="21"/>
        <v>#NUM!</v>
      </c>
      <c r="Y37" s="51" t="e">
        <f t="shared" si="18"/>
        <v>#NUM!</v>
      </c>
      <c r="Z37" s="51" t="e">
        <f t="shared" si="19"/>
        <v>#NUM!</v>
      </c>
      <c r="AA37" s="51" t="e">
        <f t="shared" si="22"/>
        <v>#NUM!</v>
      </c>
      <c r="AB37" s="51" t="e">
        <f t="shared" si="23"/>
        <v>#NUM!</v>
      </c>
      <c r="AC37" s="51" t="e">
        <f t="shared" si="24"/>
        <v>#NUM!</v>
      </c>
      <c r="AD37" s="51" t="e">
        <f t="shared" si="25"/>
        <v>#NUM!</v>
      </c>
      <c r="AE37" s="51" t="e">
        <f t="shared" si="26"/>
        <v>#NUM!</v>
      </c>
      <c r="AF37" s="51" t="e">
        <f t="shared" si="27"/>
        <v>#NUM!</v>
      </c>
      <c r="AG37" s="51" t="e">
        <f t="shared" si="28"/>
        <v>#NUM!</v>
      </c>
      <c r="AH37" s="51" t="e">
        <f t="shared" si="20"/>
        <v>#NUM!</v>
      </c>
      <c r="AI37" s="51" t="e">
        <f t="shared" si="29"/>
        <v>#NUM!</v>
      </c>
    </row>
    <row r="38" spans="1:36" ht="15.75" customHeight="1" x14ac:dyDescent="0.2">
      <c r="A38" s="138">
        <f>Реал_Мощность</f>
        <v>1</v>
      </c>
      <c r="B38" s="117">
        <v>-3</v>
      </c>
      <c r="C38" s="139">
        <f t="shared" si="0"/>
        <v>-2.6577771655999997E-2</v>
      </c>
      <c r="D38" s="140">
        <f t="shared" si="1"/>
        <v>-1.0216477720817076E-2</v>
      </c>
      <c r="E38" s="141">
        <f t="shared" si="2"/>
        <v>102.99375069835999</v>
      </c>
      <c r="F38" s="142" t="e">
        <f t="shared" si="17"/>
        <v>#NUM!</v>
      </c>
      <c r="G38" s="139" t="e">
        <f t="shared" si="3"/>
        <v>#NUM!</v>
      </c>
      <c r="H38" s="140" t="e">
        <f t="shared" si="4"/>
        <v>#NUM!</v>
      </c>
      <c r="I38" s="143" t="e">
        <f t="shared" si="5"/>
        <v>#NUM!</v>
      </c>
      <c r="J38" s="144" t="e">
        <f t="shared" si="6"/>
        <v>#NUM!</v>
      </c>
      <c r="K38" s="145" t="e">
        <f t="shared" si="7"/>
        <v>#NUM!</v>
      </c>
      <c r="L38" s="143" t="e">
        <f t="shared" si="8"/>
        <v>#NUM!</v>
      </c>
      <c r="M38" s="144" t="e">
        <f t="shared" si="9"/>
        <v>#NUM!</v>
      </c>
      <c r="N38" s="146">
        <v>16</v>
      </c>
      <c r="O38" s="147" t="e">
        <f t="shared" si="10"/>
        <v>#NUM!</v>
      </c>
      <c r="P38" s="148" t="e">
        <f t="shared" si="11"/>
        <v>#NUM!</v>
      </c>
      <c r="Q38" s="149" t="e">
        <f t="shared" si="12"/>
        <v>#NUM!</v>
      </c>
      <c r="W38" s="51">
        <v>2.5</v>
      </c>
      <c r="X38" s="51" t="e">
        <f t="shared" si="21"/>
        <v>#NUM!</v>
      </c>
      <c r="Y38" s="51" t="e">
        <f t="shared" si="18"/>
        <v>#NUM!</v>
      </c>
      <c r="Z38" s="51" t="e">
        <f t="shared" si="19"/>
        <v>#NUM!</v>
      </c>
      <c r="AA38" s="51" t="e">
        <f t="shared" si="22"/>
        <v>#NUM!</v>
      </c>
      <c r="AB38" s="51" t="e">
        <f t="shared" si="23"/>
        <v>#NUM!</v>
      </c>
      <c r="AC38" s="51" t="e">
        <f t="shared" si="24"/>
        <v>#NUM!</v>
      </c>
      <c r="AD38" s="51" t="e">
        <f t="shared" si="25"/>
        <v>#NUM!</v>
      </c>
      <c r="AE38" s="51" t="e">
        <f t="shared" si="26"/>
        <v>#NUM!</v>
      </c>
      <c r="AF38" s="51" t="e">
        <f t="shared" si="27"/>
        <v>#NUM!</v>
      </c>
      <c r="AG38" s="51" t="e">
        <f t="shared" si="28"/>
        <v>#NUM!</v>
      </c>
      <c r="AH38" s="51" t="e">
        <f t="shared" si="20"/>
        <v>#NUM!</v>
      </c>
      <c r="AI38" s="51" t="e">
        <f t="shared" si="29"/>
        <v>#NUM!</v>
      </c>
    </row>
    <row r="39" spans="1:36" ht="15.75" customHeight="1" x14ac:dyDescent="0.2">
      <c r="A39" s="138">
        <f>Реал_Мощность</f>
        <v>1</v>
      </c>
      <c r="B39" s="116">
        <v>-4</v>
      </c>
      <c r="C39" s="139">
        <f t="shared" si="0"/>
        <v>-3.5044110591999994E-2</v>
      </c>
      <c r="D39" s="140">
        <f t="shared" si="1"/>
        <v>-1.3402886982912969E-2</v>
      </c>
      <c r="E39" s="141">
        <f t="shared" si="2"/>
        <v>104.10682180352002</v>
      </c>
      <c r="F39" s="142" t="e">
        <f t="shared" si="17"/>
        <v>#NUM!</v>
      </c>
      <c r="G39" s="139" t="e">
        <f t="shared" si="3"/>
        <v>#NUM!</v>
      </c>
      <c r="H39" s="140" t="e">
        <f t="shared" si="4"/>
        <v>#NUM!</v>
      </c>
      <c r="I39" s="143" t="e">
        <f t="shared" si="5"/>
        <v>#NUM!</v>
      </c>
      <c r="J39" s="144" t="e">
        <f t="shared" si="6"/>
        <v>#NUM!</v>
      </c>
      <c r="K39" s="145" t="e">
        <f t="shared" si="7"/>
        <v>#NUM!</v>
      </c>
      <c r="L39" s="143" t="e">
        <f t="shared" si="8"/>
        <v>#NUM!</v>
      </c>
      <c r="M39" s="144" t="e">
        <f t="shared" si="9"/>
        <v>#NUM!</v>
      </c>
      <c r="N39" s="146">
        <v>17</v>
      </c>
      <c r="O39" s="147" t="e">
        <f t="shared" si="10"/>
        <v>#NUM!</v>
      </c>
      <c r="P39" s="148" t="e">
        <f t="shared" si="11"/>
        <v>#NUM!</v>
      </c>
      <c r="Q39" s="149" t="e">
        <f t="shared" si="12"/>
        <v>#NUM!</v>
      </c>
      <c r="W39" s="51">
        <v>2.5499999999999998</v>
      </c>
      <c r="X39" s="51" t="e">
        <f t="shared" si="21"/>
        <v>#NUM!</v>
      </c>
      <c r="Y39" s="51" t="e">
        <f t="shared" si="18"/>
        <v>#NUM!</v>
      </c>
      <c r="Z39" s="51" t="e">
        <f t="shared" si="19"/>
        <v>#NUM!</v>
      </c>
      <c r="AA39" s="51" t="e">
        <f t="shared" si="22"/>
        <v>#NUM!</v>
      </c>
      <c r="AB39" s="51" t="e">
        <f t="shared" si="23"/>
        <v>#NUM!</v>
      </c>
      <c r="AC39" s="51" t="e">
        <f t="shared" si="24"/>
        <v>#NUM!</v>
      </c>
      <c r="AD39" s="51" t="e">
        <f t="shared" si="25"/>
        <v>#NUM!</v>
      </c>
      <c r="AE39" s="51" t="e">
        <f t="shared" si="26"/>
        <v>#NUM!</v>
      </c>
      <c r="AF39" s="51" t="e">
        <f t="shared" si="27"/>
        <v>#NUM!</v>
      </c>
      <c r="AG39" s="51" t="e">
        <f t="shared" si="28"/>
        <v>#NUM!</v>
      </c>
      <c r="AH39" s="51" t="e">
        <f t="shared" si="20"/>
        <v>#NUM!</v>
      </c>
      <c r="AI39" s="51" t="e">
        <f t="shared" si="29"/>
        <v>#NUM!</v>
      </c>
    </row>
    <row r="40" spans="1:36" ht="14.25" customHeight="1" x14ac:dyDescent="0.2">
      <c r="X40" s="51" t="e">
        <f t="shared" si="21"/>
        <v>#NUM!</v>
      </c>
      <c r="Y40" s="51">
        <f t="shared" si="18"/>
        <v>0</v>
      </c>
      <c r="Z40" s="51" t="e">
        <f t="shared" si="19"/>
        <v>#NUM!</v>
      </c>
      <c r="AA40" s="51" t="e">
        <f t="shared" si="22"/>
        <v>#NUM!</v>
      </c>
      <c r="AB40" s="51" t="e">
        <f t="shared" si="23"/>
        <v>#NUM!</v>
      </c>
      <c r="AC40" s="51" t="e">
        <f t="shared" si="24"/>
        <v>#NUM!</v>
      </c>
      <c r="AD40" s="51" t="e">
        <f t="shared" si="25"/>
        <v>#NUM!</v>
      </c>
      <c r="AE40" s="51" t="e">
        <f t="shared" si="26"/>
        <v>#NUM!</v>
      </c>
      <c r="AF40" s="51" t="e">
        <f t="shared" si="27"/>
        <v>#NUM!</v>
      </c>
      <c r="AG40" s="51" t="e">
        <f t="shared" si="28"/>
        <v>#NUM!</v>
      </c>
      <c r="AH40" s="51" t="e">
        <f t="shared" si="20"/>
        <v>#NUM!</v>
      </c>
      <c r="AI40" s="51" t="e">
        <f t="shared" si="29"/>
        <v>#NUM!</v>
      </c>
    </row>
    <row r="41" spans="1:36" ht="14.25" customHeight="1" x14ac:dyDescent="0.2">
      <c r="X41" s="51" t="e">
        <f t="shared" si="21"/>
        <v>#NUM!</v>
      </c>
      <c r="Y41" s="51">
        <f t="shared" si="18"/>
        <v>0</v>
      </c>
      <c r="Z41" s="51" t="e">
        <f t="shared" si="19"/>
        <v>#NUM!</v>
      </c>
      <c r="AA41" s="51" t="e">
        <f t="shared" si="22"/>
        <v>#NUM!</v>
      </c>
      <c r="AB41" s="51" t="e">
        <f t="shared" si="23"/>
        <v>#NUM!</v>
      </c>
      <c r="AC41" s="51" t="e">
        <f t="shared" si="24"/>
        <v>#NUM!</v>
      </c>
      <c r="AD41" s="51" t="e">
        <f t="shared" si="25"/>
        <v>#NUM!</v>
      </c>
      <c r="AE41" s="51" t="e">
        <f t="shared" si="26"/>
        <v>#NUM!</v>
      </c>
      <c r="AF41" s="51" t="e">
        <f t="shared" si="27"/>
        <v>#NUM!</v>
      </c>
      <c r="AG41" s="51" t="e">
        <f t="shared" si="28"/>
        <v>#NUM!</v>
      </c>
      <c r="AH41" s="51" t="e">
        <f t="shared" si="20"/>
        <v>#NUM!</v>
      </c>
      <c r="AI41" s="51" t="e">
        <f t="shared" si="29"/>
        <v>#NUM!</v>
      </c>
    </row>
    <row r="42" spans="1:36" ht="14.25" customHeight="1" x14ac:dyDescent="0.2">
      <c r="X42" s="51" t="e">
        <f t="shared" si="21"/>
        <v>#NUM!</v>
      </c>
      <c r="Y42" s="51">
        <f t="shared" si="18"/>
        <v>0</v>
      </c>
      <c r="Z42" s="51" t="e">
        <f t="shared" si="19"/>
        <v>#NUM!</v>
      </c>
      <c r="AA42" s="51" t="e">
        <f t="shared" si="22"/>
        <v>#NUM!</v>
      </c>
      <c r="AB42" s="51" t="e">
        <f t="shared" si="23"/>
        <v>#NUM!</v>
      </c>
      <c r="AC42" s="51" t="e">
        <f t="shared" si="24"/>
        <v>#NUM!</v>
      </c>
      <c r="AD42" s="51" t="e">
        <f t="shared" si="25"/>
        <v>#NUM!</v>
      </c>
      <c r="AE42" s="51" t="e">
        <f t="shared" si="26"/>
        <v>#NUM!</v>
      </c>
      <c r="AF42" s="51" t="e">
        <f t="shared" si="27"/>
        <v>#NUM!</v>
      </c>
      <c r="AG42" s="51" t="e">
        <f t="shared" si="28"/>
        <v>#NUM!</v>
      </c>
      <c r="AH42" s="51" t="e">
        <f t="shared" si="20"/>
        <v>#NUM!</v>
      </c>
      <c r="AI42" s="51" t="e">
        <f t="shared" si="29"/>
        <v>#NUM!</v>
      </c>
    </row>
    <row r="43" spans="1:36" ht="14.25" customHeight="1" x14ac:dyDescent="0.2">
      <c r="W43" s="51">
        <v>1.8</v>
      </c>
    </row>
    <row r="44" spans="1:36" ht="14.25" customHeight="1" x14ac:dyDescent="0.2">
      <c r="W44" s="51">
        <v>1.85</v>
      </c>
    </row>
    <row r="45" spans="1:36" ht="14.25" customHeight="1" x14ac:dyDescent="0.2">
      <c r="W45" s="51">
        <v>1.9</v>
      </c>
    </row>
    <row r="46" spans="1:36" ht="14.25" customHeight="1" x14ac:dyDescent="0.2">
      <c r="W46" s="51">
        <v>1.95</v>
      </c>
    </row>
    <row r="47" spans="1:36" ht="14.25" customHeight="1" x14ac:dyDescent="0.2">
      <c r="W47" s="51">
        <v>2</v>
      </c>
    </row>
    <row r="48" spans="1:36" ht="14.25" customHeight="1" x14ac:dyDescent="0.2">
      <c r="W48" s="51">
        <v>2.0499999999999998</v>
      </c>
    </row>
    <row r="49" spans="23:23" ht="14.25" customHeight="1" x14ac:dyDescent="0.2">
      <c r="W49" s="51">
        <v>2.1</v>
      </c>
    </row>
    <row r="50" spans="23:23" ht="14.25" customHeight="1" x14ac:dyDescent="0.2">
      <c r="W50" s="51">
        <v>2.15</v>
      </c>
    </row>
    <row r="51" spans="23:23" ht="14.25" customHeight="1" x14ac:dyDescent="0.2">
      <c r="W51" s="51">
        <v>2.2000000000000002</v>
      </c>
    </row>
    <row r="52" spans="23:23" ht="14.25" customHeight="1" x14ac:dyDescent="0.2">
      <c r="W52" s="51">
        <v>2.25</v>
      </c>
    </row>
    <row r="53" spans="23:23" ht="14.25" customHeight="1" x14ac:dyDescent="0.2">
      <c r="W53" s="51">
        <v>2.2999999999999998</v>
      </c>
    </row>
    <row r="54" spans="23:23" ht="14.25" customHeight="1" x14ac:dyDescent="0.15"/>
    <row r="55" spans="23:23" ht="14.25" customHeight="1" x14ac:dyDescent="0.15"/>
    <row r="56" spans="23:23" ht="14.25" customHeight="1" x14ac:dyDescent="0.15"/>
    <row r="57" spans="23:23" ht="14.25" customHeight="1" x14ac:dyDescent="0.15"/>
    <row r="58" spans="23:23" ht="14.25" customHeight="1" x14ac:dyDescent="0.15"/>
    <row r="59" spans="23:23" ht="14.25" customHeight="1" x14ac:dyDescent="0.15"/>
    <row r="60" spans="23:23" ht="14.25" customHeight="1" x14ac:dyDescent="0.15"/>
    <row r="61" spans="23:23" ht="14.25" customHeight="1" x14ac:dyDescent="0.15"/>
    <row r="62" spans="23:23" ht="14.25" customHeight="1" x14ac:dyDescent="0.15"/>
    <row r="63" spans="23:23" ht="14.25" customHeight="1" x14ac:dyDescent="0.15"/>
    <row r="64" spans="23:23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9">
    <mergeCell ref="U2:U3"/>
    <mergeCell ref="V2:V3"/>
    <mergeCell ref="A1:M1"/>
    <mergeCell ref="P1:Q2"/>
    <mergeCell ref="S1:T1"/>
    <mergeCell ref="U1:V1"/>
    <mergeCell ref="A2:A3"/>
    <mergeCell ref="B2:B3"/>
    <mergeCell ref="C2:C3"/>
    <mergeCell ref="I2:J2"/>
    <mergeCell ref="L2:M2"/>
    <mergeCell ref="N2:O2"/>
    <mergeCell ref="S2:S3"/>
    <mergeCell ref="T2:T3"/>
    <mergeCell ref="D2:D3"/>
    <mergeCell ref="E2:E3"/>
    <mergeCell ref="F2:F3"/>
    <mergeCell ref="G2:G3"/>
    <mergeCell ref="H2:H3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6CC"/>
  </sheetPr>
  <dimension ref="A1:I1000"/>
  <sheetViews>
    <sheetView workbookViewId="0"/>
  </sheetViews>
  <sheetFormatPr defaultColWidth="12.625" defaultRowHeight="15" customHeight="1" x14ac:dyDescent="0.15"/>
  <cols>
    <col min="1" max="1" width="11.64453125" customWidth="1"/>
    <col min="2" max="2" width="9.9296875" customWidth="1"/>
    <col min="3" max="3" width="12.74609375" customWidth="1"/>
    <col min="4" max="4" width="10.296875" customWidth="1"/>
    <col min="5" max="5" width="9.68359375" customWidth="1"/>
    <col min="6" max="6" width="10.296875" customWidth="1"/>
    <col min="7" max="7" width="10.6640625" customWidth="1"/>
    <col min="8" max="9" width="7.96484375" customWidth="1"/>
    <col min="10" max="26" width="14.33984375" customWidth="1"/>
  </cols>
  <sheetData>
    <row r="1" spans="1:7" ht="15" customHeight="1" x14ac:dyDescent="0.2">
      <c r="A1" s="171" t="s">
        <v>6</v>
      </c>
    </row>
    <row r="2" spans="1:7" ht="11.25" customHeight="1" x14ac:dyDescent="0.15"/>
    <row r="3" spans="1:7" ht="48" customHeight="1" x14ac:dyDescent="0.15">
      <c r="A3" s="357" t="s">
        <v>50</v>
      </c>
      <c r="B3" s="317"/>
      <c r="C3" s="172">
        <v>36</v>
      </c>
      <c r="D3" s="173" t="s">
        <v>51</v>
      </c>
    </row>
    <row r="5" spans="1:7" ht="43.5" customHeight="1" x14ac:dyDescent="0.15">
      <c r="A5" s="174" t="s">
        <v>52</v>
      </c>
      <c r="B5" s="175" t="s">
        <v>53</v>
      </c>
      <c r="D5" s="174" t="s">
        <v>54</v>
      </c>
      <c r="E5" s="176" t="s">
        <v>55</v>
      </c>
    </row>
    <row r="6" spans="1:7" ht="15" customHeight="1" x14ac:dyDescent="0.2">
      <c r="A6" s="177"/>
      <c r="B6" s="178">
        <f>A6*1000/3600*сек</f>
        <v>0</v>
      </c>
      <c r="D6" s="177">
        <v>10</v>
      </c>
      <c r="E6" s="179">
        <f>D6/сек*3600/1000</f>
        <v>1</v>
      </c>
    </row>
    <row r="7" spans="1:7" ht="15" customHeight="1" x14ac:dyDescent="0.2">
      <c r="A7" s="180">
        <v>2</v>
      </c>
      <c r="B7" s="181">
        <f>A7*1000/3600*сек</f>
        <v>20</v>
      </c>
      <c r="D7" s="180">
        <v>1</v>
      </c>
      <c r="E7" s="182">
        <f>D7/сек*3600/1000</f>
        <v>0.1</v>
      </c>
    </row>
    <row r="8" spans="1:7" ht="15" customHeight="1" x14ac:dyDescent="0.2">
      <c r="A8" s="183">
        <v>3</v>
      </c>
      <c r="B8" s="181">
        <f>A8*1000/3600*сек</f>
        <v>30</v>
      </c>
      <c r="D8" s="183">
        <v>3</v>
      </c>
      <c r="E8" s="182">
        <f>D8/сек*3600/1000</f>
        <v>0.3</v>
      </c>
    </row>
    <row r="9" spans="1:7" ht="15" customHeight="1" x14ac:dyDescent="0.2">
      <c r="A9" s="180">
        <v>5</v>
      </c>
      <c r="B9" s="181">
        <f>A9*1000/3600*сек</f>
        <v>50</v>
      </c>
      <c r="D9" s="180">
        <v>5</v>
      </c>
      <c r="E9" s="182">
        <f>D9/сек*3600/1000</f>
        <v>0.5</v>
      </c>
    </row>
    <row r="10" spans="1:7" ht="15" customHeight="1" x14ac:dyDescent="0.2">
      <c r="A10" s="183">
        <v>7</v>
      </c>
      <c r="B10" s="181">
        <f>A10*1000/3600*сек</f>
        <v>70</v>
      </c>
      <c r="D10" s="183">
        <v>7</v>
      </c>
      <c r="E10" s="182">
        <f>D10/сек*3600/1000</f>
        <v>0.7</v>
      </c>
    </row>
    <row r="11" spans="1:7" ht="15" customHeight="1" x14ac:dyDescent="0.2">
      <c r="A11" s="180">
        <v>2</v>
      </c>
      <c r="B11" s="181">
        <f>A11*1000/3600*сек</f>
        <v>20</v>
      </c>
      <c r="D11" s="180">
        <v>2</v>
      </c>
      <c r="E11" s="182">
        <f>D11/сек*3600/1000</f>
        <v>0.2</v>
      </c>
    </row>
    <row r="12" spans="1:7" ht="15" customHeight="1" x14ac:dyDescent="0.2">
      <c r="A12" s="183">
        <v>10</v>
      </c>
      <c r="B12" s="181">
        <f>A12*1000/3600*сек</f>
        <v>100</v>
      </c>
      <c r="D12" s="183">
        <v>10</v>
      </c>
      <c r="E12" s="182">
        <f>D12/сек*3600/1000</f>
        <v>1</v>
      </c>
    </row>
    <row r="13" spans="1:7" ht="15" customHeight="1" x14ac:dyDescent="0.2">
      <c r="A13" s="180">
        <v>12</v>
      </c>
      <c r="B13" s="181">
        <f>A13*1000/3600*сек</f>
        <v>120</v>
      </c>
      <c r="D13" s="180">
        <v>12</v>
      </c>
      <c r="E13" s="182">
        <f>D13/сек*3600/1000</f>
        <v>1.2</v>
      </c>
    </row>
    <row r="14" spans="1:7" ht="15" customHeight="1" x14ac:dyDescent="0.2">
      <c r="A14" s="183">
        <v>30</v>
      </c>
      <c r="B14" s="181">
        <f>A14*1000/3600*сек</f>
        <v>300</v>
      </c>
      <c r="D14" s="183">
        <v>30</v>
      </c>
      <c r="E14" s="182">
        <f>D14/сек*3600/1000</f>
        <v>3</v>
      </c>
    </row>
    <row r="15" spans="1:7" ht="14.25" customHeight="1" x14ac:dyDescent="0.15"/>
    <row r="16" spans="1:7" ht="14.25" customHeight="1" x14ac:dyDescent="0.2">
      <c r="A16" s="358" t="s">
        <v>56</v>
      </c>
      <c r="B16" s="327"/>
      <c r="C16" s="327"/>
      <c r="D16" s="185"/>
      <c r="E16" s="186" t="s">
        <v>57</v>
      </c>
      <c r="F16" s="187"/>
      <c r="G16" s="187"/>
    </row>
    <row r="17" spans="1:9" ht="14.25" customHeight="1" x14ac:dyDescent="0.2">
      <c r="A17" s="188"/>
      <c r="B17" s="188"/>
      <c r="C17" s="184" t="s">
        <v>58</v>
      </c>
      <c r="D17" s="185"/>
      <c r="E17" s="186" t="s">
        <v>59</v>
      </c>
      <c r="F17" s="187"/>
      <c r="G17" s="187"/>
      <c r="H17" s="187"/>
      <c r="I17" s="187"/>
    </row>
    <row r="18" spans="1:9" ht="14.25" customHeight="1" x14ac:dyDescent="0.15"/>
    <row r="19" spans="1:9" ht="14.25" customHeight="1" x14ac:dyDescent="0.15"/>
    <row r="20" spans="1:9" ht="14.25" customHeight="1" x14ac:dyDescent="0.15"/>
    <row r="21" spans="1:9" ht="14.25" customHeight="1" x14ac:dyDescent="0.15"/>
    <row r="22" spans="1:9" ht="14.25" customHeight="1" x14ac:dyDescent="0.15"/>
    <row r="23" spans="1:9" ht="14.25" customHeight="1" x14ac:dyDescent="0.15"/>
    <row r="24" spans="1:9" ht="14.25" customHeight="1" x14ac:dyDescent="0.15"/>
    <row r="25" spans="1:9" ht="14.25" customHeight="1" x14ac:dyDescent="0.15"/>
    <row r="26" spans="1:9" ht="14.25" customHeight="1" x14ac:dyDescent="0.15"/>
    <row r="27" spans="1:9" ht="14.25" customHeight="1" x14ac:dyDescent="0.15"/>
    <row r="28" spans="1:9" ht="14.25" customHeight="1" x14ac:dyDescent="0.15"/>
    <row r="29" spans="1:9" ht="14.25" customHeight="1" x14ac:dyDescent="0.15"/>
    <row r="30" spans="1:9" ht="14.25" customHeight="1" x14ac:dyDescent="0.15"/>
    <row r="31" spans="1:9" ht="14.25" customHeight="1" x14ac:dyDescent="0.15"/>
    <row r="32" spans="1:9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">
    <mergeCell ref="A3:B3"/>
    <mergeCell ref="A16:C16"/>
  </mergeCells>
  <hyperlinks>
    <hyperlink ref="E16" r:id="rId1" xr:uid="{00000000-0004-0000-0200-000000000000}"/>
    <hyperlink ref="E17" r:id="rId2" xr:uid="{00000000-0004-0000-0200-000001000000}"/>
  </hyperlink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3366"/>
  </sheetPr>
  <dimension ref="A1:L1000"/>
  <sheetViews>
    <sheetView workbookViewId="0"/>
  </sheetViews>
  <sheetFormatPr defaultColWidth="12.625" defaultRowHeight="15" customHeight="1" x14ac:dyDescent="0.15"/>
  <cols>
    <col min="1" max="1" width="11.27734375" customWidth="1"/>
    <col min="2" max="2" width="11.890625" customWidth="1"/>
    <col min="3" max="3" width="12.01171875" customWidth="1"/>
    <col min="4" max="4" width="7.96484375" customWidth="1"/>
    <col min="5" max="5" width="10.91015625" customWidth="1"/>
    <col min="6" max="6" width="10.78515625" customWidth="1"/>
    <col min="7" max="8" width="11.3984375" customWidth="1"/>
    <col min="9" max="9" width="7.96484375" customWidth="1"/>
    <col min="10" max="10" width="15.19921875" customWidth="1"/>
    <col min="11" max="12" width="7.96484375" customWidth="1"/>
    <col min="13" max="26" width="14.33984375" customWidth="1"/>
  </cols>
  <sheetData>
    <row r="1" spans="1:12" ht="24" customHeight="1" x14ac:dyDescent="0.25">
      <c r="A1" s="189" t="s">
        <v>6</v>
      </c>
      <c r="B1" s="190"/>
      <c r="C1" s="190"/>
      <c r="D1" s="190"/>
      <c r="E1" s="190"/>
      <c r="F1" s="190"/>
      <c r="G1" s="190"/>
      <c r="H1" s="190"/>
      <c r="I1" s="190"/>
      <c r="J1" s="191"/>
      <c r="K1" s="190"/>
      <c r="L1" s="190"/>
    </row>
    <row r="2" spans="1:12" ht="51" customHeight="1" x14ac:dyDescent="0.25">
      <c r="A2" s="192" t="s">
        <v>60</v>
      </c>
      <c r="B2" s="192" t="s">
        <v>61</v>
      </c>
      <c r="C2" s="193" t="s">
        <v>62</v>
      </c>
      <c r="D2" s="194" t="s">
        <v>63</v>
      </c>
      <c r="E2" s="359" t="s">
        <v>64</v>
      </c>
      <c r="F2" s="318"/>
      <c r="G2" s="359" t="s">
        <v>65</v>
      </c>
      <c r="H2" s="317"/>
      <c r="I2" s="318"/>
      <c r="J2" s="195"/>
      <c r="K2" s="196"/>
      <c r="L2" s="196"/>
    </row>
    <row r="3" spans="1:12" ht="21" customHeight="1" x14ac:dyDescent="0.2">
      <c r="A3" s="197">
        <v>20</v>
      </c>
      <c r="B3" s="197">
        <v>20</v>
      </c>
      <c r="C3" s="197">
        <v>5</v>
      </c>
      <c r="D3" s="198">
        <v>0</v>
      </c>
      <c r="E3" s="360">
        <v>1.1599999999999999</v>
      </c>
      <c r="F3" s="361"/>
      <c r="G3" s="199">
        <f>1000/1.6</f>
        <v>625</v>
      </c>
      <c r="H3" s="200"/>
      <c r="I3" s="201" t="s">
        <v>66</v>
      </c>
      <c r="J3" s="195"/>
      <c r="K3" s="196"/>
      <c r="L3" s="196"/>
    </row>
    <row r="4" spans="1:12" ht="15" customHeight="1" x14ac:dyDescent="0.2">
      <c r="A4" s="202"/>
      <c r="B4" s="196"/>
      <c r="C4" s="196"/>
      <c r="D4" s="203"/>
      <c r="E4" s="203"/>
      <c r="F4" s="196"/>
      <c r="G4" s="196"/>
      <c r="H4" s="196"/>
      <c r="I4" s="196"/>
      <c r="J4" s="195"/>
      <c r="K4" s="196"/>
      <c r="L4" s="196"/>
    </row>
    <row r="5" spans="1:12" ht="57.75" customHeight="1" x14ac:dyDescent="0.25">
      <c r="A5" s="204" t="s">
        <v>67</v>
      </c>
      <c r="B5" s="204" t="s">
        <v>68</v>
      </c>
      <c r="C5" s="205" t="s">
        <v>69</v>
      </c>
      <c r="D5" s="206" t="s">
        <v>70</v>
      </c>
      <c r="E5" s="207" t="s">
        <v>71</v>
      </c>
      <c r="F5" s="208" t="s">
        <v>72</v>
      </c>
      <c r="G5" s="209" t="s">
        <v>73</v>
      </c>
      <c r="H5" s="210" t="s">
        <v>74</v>
      </c>
      <c r="I5" s="211" t="s">
        <v>75</v>
      </c>
      <c r="J5" s="212"/>
      <c r="K5" s="196"/>
      <c r="L5" s="196"/>
    </row>
    <row r="6" spans="1:12" ht="15" customHeight="1" x14ac:dyDescent="0.2">
      <c r="A6" s="213">
        <f>A7+шаг.литр</f>
        <v>50</v>
      </c>
      <c r="B6" s="214">
        <f>B7+шаг.темп.</f>
        <v>20</v>
      </c>
      <c r="C6" s="215">
        <f>Реал_Мощность</f>
        <v>1</v>
      </c>
      <c r="D6" s="216">
        <f t="shared" ref="D6:D18" si="0">IF(C6=0,0,(100-B6)*E$3*A6)</f>
        <v>4640</v>
      </c>
      <c r="E6" s="217">
        <f t="shared" ref="E6:E18" si="1">IF(C6=0,0,D6/1000/C6*60)</f>
        <v>278.39999999999998</v>
      </c>
      <c r="F6" s="218">
        <f t="shared" ref="F6:F18" si="2">IF(C6=0,0,A6*G$3)</f>
        <v>31250</v>
      </c>
      <c r="G6" s="219">
        <f t="shared" ref="G6:G18" si="3">IF(C6=0,0,F6/1000/C6*60)</f>
        <v>1875</v>
      </c>
      <c r="H6" s="220">
        <f t="shared" ref="H6:H18" si="4">IF(C6=0,0,((((C6*3600)/(2256))/18)*8.314*10^6*(273.15+100))/(760*133.3))</f>
        <v>2714.8174046591153</v>
      </c>
      <c r="I6" s="221">
        <f t="shared" ref="I6:I18" si="5">(D6+F6)/1000</f>
        <v>35.89</v>
      </c>
      <c r="K6" s="196"/>
      <c r="L6" s="196"/>
    </row>
    <row r="7" spans="1:12" ht="15" customHeight="1" x14ac:dyDescent="0.2">
      <c r="A7" s="222">
        <f>A8+шаг.литр</f>
        <v>45</v>
      </c>
      <c r="B7" s="223">
        <f>B8+шаг.темп.</f>
        <v>20</v>
      </c>
      <c r="C7" s="224">
        <f>Реал_Мощность</f>
        <v>1</v>
      </c>
      <c r="D7" s="225">
        <f t="shared" si="0"/>
        <v>4176</v>
      </c>
      <c r="E7" s="226">
        <f t="shared" si="1"/>
        <v>250.56</v>
      </c>
      <c r="F7" s="227">
        <f t="shared" si="2"/>
        <v>28125</v>
      </c>
      <c r="G7" s="228">
        <f t="shared" si="3"/>
        <v>1687.5</v>
      </c>
      <c r="H7" s="229">
        <f t="shared" si="4"/>
        <v>2714.8174046591153</v>
      </c>
      <c r="I7" s="230">
        <f t="shared" si="5"/>
        <v>32.301000000000002</v>
      </c>
      <c r="K7" s="196"/>
      <c r="L7" s="196"/>
    </row>
    <row r="8" spans="1:12" ht="15" customHeight="1" x14ac:dyDescent="0.2">
      <c r="A8" s="213">
        <f>A9+шаг.литр</f>
        <v>40</v>
      </c>
      <c r="B8" s="214">
        <f>B9+шаг.темп.</f>
        <v>20</v>
      </c>
      <c r="C8" s="215">
        <f>Реал_Мощность</f>
        <v>1</v>
      </c>
      <c r="D8" s="216">
        <f t="shared" si="0"/>
        <v>3712</v>
      </c>
      <c r="E8" s="217">
        <f t="shared" si="1"/>
        <v>222.72</v>
      </c>
      <c r="F8" s="218">
        <f t="shared" si="2"/>
        <v>25000</v>
      </c>
      <c r="G8" s="219">
        <f t="shared" si="3"/>
        <v>1500</v>
      </c>
      <c r="H8" s="220">
        <f t="shared" si="4"/>
        <v>2714.8174046591153</v>
      </c>
      <c r="I8" s="221">
        <f t="shared" si="5"/>
        <v>28.712</v>
      </c>
      <c r="K8" s="196"/>
      <c r="L8" s="196"/>
    </row>
    <row r="9" spans="1:12" ht="15" customHeight="1" x14ac:dyDescent="0.2">
      <c r="A9" s="222">
        <f>A10+шаг.литр</f>
        <v>35</v>
      </c>
      <c r="B9" s="223">
        <f>B10+шаг.темп.</f>
        <v>20</v>
      </c>
      <c r="C9" s="224">
        <f>Реал_Мощность</f>
        <v>1</v>
      </c>
      <c r="D9" s="225">
        <f t="shared" si="0"/>
        <v>3248</v>
      </c>
      <c r="E9" s="226">
        <f t="shared" si="1"/>
        <v>194.88000000000002</v>
      </c>
      <c r="F9" s="227">
        <f t="shared" si="2"/>
        <v>21875</v>
      </c>
      <c r="G9" s="228">
        <f t="shared" si="3"/>
        <v>1312.5</v>
      </c>
      <c r="H9" s="229">
        <f t="shared" si="4"/>
        <v>2714.8174046591153</v>
      </c>
      <c r="I9" s="230">
        <f t="shared" si="5"/>
        <v>25.123000000000001</v>
      </c>
      <c r="K9" s="196"/>
      <c r="L9" s="196"/>
    </row>
    <row r="10" spans="1:12" ht="15" customHeight="1" x14ac:dyDescent="0.2">
      <c r="A10" s="213">
        <f>A11+шаг.литр</f>
        <v>30</v>
      </c>
      <c r="B10" s="214">
        <f>B11+шаг.темп.</f>
        <v>20</v>
      </c>
      <c r="C10" s="215">
        <f>Реал_Мощность</f>
        <v>1</v>
      </c>
      <c r="D10" s="216">
        <f t="shared" si="0"/>
        <v>2784</v>
      </c>
      <c r="E10" s="217">
        <f t="shared" si="1"/>
        <v>167.04</v>
      </c>
      <c r="F10" s="218">
        <f t="shared" si="2"/>
        <v>18750</v>
      </c>
      <c r="G10" s="219">
        <f t="shared" si="3"/>
        <v>1125</v>
      </c>
      <c r="H10" s="220">
        <f t="shared" si="4"/>
        <v>2714.8174046591153</v>
      </c>
      <c r="I10" s="221">
        <f t="shared" si="5"/>
        <v>21.533999999999999</v>
      </c>
      <c r="K10" s="196"/>
      <c r="L10" s="196"/>
    </row>
    <row r="11" spans="1:12" ht="15.75" customHeight="1" x14ac:dyDescent="0.2">
      <c r="A11" s="231">
        <f>A12+шаг.литр</f>
        <v>25</v>
      </c>
      <c r="B11" s="223">
        <f>B12+шаг.темп.</f>
        <v>20</v>
      </c>
      <c r="C11" s="232">
        <f>Реал_Мощность</f>
        <v>1</v>
      </c>
      <c r="D11" s="225">
        <f t="shared" si="0"/>
        <v>2320</v>
      </c>
      <c r="E11" s="226">
        <f t="shared" si="1"/>
        <v>139.19999999999999</v>
      </c>
      <c r="F11" s="227">
        <f t="shared" si="2"/>
        <v>15625</v>
      </c>
      <c r="G11" s="229">
        <f t="shared" si="3"/>
        <v>937.5</v>
      </c>
      <c r="H11" s="229">
        <f t="shared" si="4"/>
        <v>2714.8174046591153</v>
      </c>
      <c r="I11" s="233">
        <f t="shared" si="5"/>
        <v>17.945</v>
      </c>
      <c r="K11" s="196"/>
      <c r="L11" s="196"/>
    </row>
    <row r="12" spans="1:12" ht="21.75" customHeight="1" x14ac:dyDescent="0.3">
      <c r="A12" s="234">
        <f>литр</f>
        <v>20</v>
      </c>
      <c r="B12" s="235">
        <f>градус</f>
        <v>20</v>
      </c>
      <c r="C12" s="236">
        <f>Реал_Мощность</f>
        <v>1</v>
      </c>
      <c r="D12" s="237">
        <f t="shared" si="0"/>
        <v>1856</v>
      </c>
      <c r="E12" s="238">
        <f t="shared" si="1"/>
        <v>111.36</v>
      </c>
      <c r="F12" s="239">
        <f t="shared" si="2"/>
        <v>12500</v>
      </c>
      <c r="G12" s="240">
        <f t="shared" si="3"/>
        <v>750</v>
      </c>
      <c r="H12" s="241">
        <f t="shared" si="4"/>
        <v>2714.8174046591153</v>
      </c>
      <c r="I12" s="242">
        <f t="shared" si="5"/>
        <v>14.356</v>
      </c>
      <c r="K12" s="196"/>
      <c r="L12" s="196"/>
    </row>
    <row r="13" spans="1:12" ht="15.75" customHeight="1" x14ac:dyDescent="0.2">
      <c r="A13" s="243">
        <f>A12-шаг.литр</f>
        <v>15</v>
      </c>
      <c r="B13" s="244">
        <f>B12-шаг.темп.</f>
        <v>20</v>
      </c>
      <c r="C13" s="245">
        <f>Реал_Мощность</f>
        <v>1</v>
      </c>
      <c r="D13" s="246">
        <f t="shared" si="0"/>
        <v>1392</v>
      </c>
      <c r="E13" s="247">
        <f t="shared" si="1"/>
        <v>83.52</v>
      </c>
      <c r="F13" s="248">
        <f t="shared" si="2"/>
        <v>9375</v>
      </c>
      <c r="G13" s="249">
        <f t="shared" si="3"/>
        <v>562.5</v>
      </c>
      <c r="H13" s="249">
        <f t="shared" si="4"/>
        <v>2714.8174046591153</v>
      </c>
      <c r="I13" s="250">
        <f t="shared" si="5"/>
        <v>10.766999999999999</v>
      </c>
      <c r="K13" s="196"/>
      <c r="L13" s="196"/>
    </row>
    <row r="14" spans="1:12" ht="15" customHeight="1" x14ac:dyDescent="0.2">
      <c r="A14" s="213">
        <f>A13-шаг.литр</f>
        <v>10</v>
      </c>
      <c r="B14" s="251">
        <f>B13-шаг.темп.</f>
        <v>20</v>
      </c>
      <c r="C14" s="215">
        <f>Реал_Мощность</f>
        <v>1</v>
      </c>
      <c r="D14" s="218">
        <f t="shared" si="0"/>
        <v>928</v>
      </c>
      <c r="E14" s="252">
        <f t="shared" si="1"/>
        <v>55.68</v>
      </c>
      <c r="F14" s="253">
        <f t="shared" si="2"/>
        <v>6250</v>
      </c>
      <c r="G14" s="219">
        <f t="shared" si="3"/>
        <v>375</v>
      </c>
      <c r="H14" s="254">
        <f t="shared" si="4"/>
        <v>2714.8174046591153</v>
      </c>
      <c r="I14" s="221">
        <f t="shared" si="5"/>
        <v>7.1779999999999999</v>
      </c>
      <c r="J14" s="255"/>
      <c r="K14" s="196"/>
      <c r="L14" s="196"/>
    </row>
    <row r="15" spans="1:12" ht="15" customHeight="1" x14ac:dyDescent="0.2">
      <c r="A15" s="222">
        <f>A14-шаг.литр</f>
        <v>5</v>
      </c>
      <c r="B15" s="256">
        <f>B14-шаг.темп.</f>
        <v>20</v>
      </c>
      <c r="C15" s="224">
        <f>Реал_Мощность</f>
        <v>1</v>
      </c>
      <c r="D15" s="246">
        <f t="shared" si="0"/>
        <v>464</v>
      </c>
      <c r="E15" s="247">
        <f t="shared" si="1"/>
        <v>27.84</v>
      </c>
      <c r="F15" s="248">
        <f t="shared" si="2"/>
        <v>3125</v>
      </c>
      <c r="G15" s="228">
        <f t="shared" si="3"/>
        <v>187.5</v>
      </c>
      <c r="H15" s="249">
        <f t="shared" si="4"/>
        <v>2714.8174046591153</v>
      </c>
      <c r="I15" s="230">
        <f t="shared" si="5"/>
        <v>3.589</v>
      </c>
      <c r="J15" s="195"/>
      <c r="K15" s="196"/>
      <c r="L15" s="196"/>
    </row>
    <row r="16" spans="1:12" ht="15" customHeight="1" x14ac:dyDescent="0.2">
      <c r="A16" s="213">
        <f>A15-шаг.литр</f>
        <v>0</v>
      </c>
      <c r="B16" s="251">
        <f>B15-шаг.темп.</f>
        <v>20</v>
      </c>
      <c r="C16" s="215">
        <f>Реал_Мощность</f>
        <v>1</v>
      </c>
      <c r="D16" s="218">
        <f t="shared" si="0"/>
        <v>0</v>
      </c>
      <c r="E16" s="252">
        <f t="shared" si="1"/>
        <v>0</v>
      </c>
      <c r="F16" s="253">
        <f t="shared" si="2"/>
        <v>0</v>
      </c>
      <c r="G16" s="219">
        <f t="shared" si="3"/>
        <v>0</v>
      </c>
      <c r="H16" s="254">
        <f t="shared" si="4"/>
        <v>2714.8174046591153</v>
      </c>
      <c r="I16" s="221">
        <f t="shared" si="5"/>
        <v>0</v>
      </c>
    </row>
    <row r="17" spans="1:9" ht="15" customHeight="1" x14ac:dyDescent="0.2">
      <c r="A17" s="222">
        <f>A16-шаг.литр</f>
        <v>-5</v>
      </c>
      <c r="B17" s="256">
        <f>B16-шаг.темп.</f>
        <v>20</v>
      </c>
      <c r="C17" s="224">
        <f>Реал_Мощность</f>
        <v>1</v>
      </c>
      <c r="D17" s="246">
        <f t="shared" si="0"/>
        <v>-464</v>
      </c>
      <c r="E17" s="247">
        <f t="shared" si="1"/>
        <v>-27.84</v>
      </c>
      <c r="F17" s="248">
        <f t="shared" si="2"/>
        <v>-3125</v>
      </c>
      <c r="G17" s="228">
        <f t="shared" si="3"/>
        <v>-187.5</v>
      </c>
      <c r="H17" s="249">
        <f t="shared" si="4"/>
        <v>2714.8174046591153</v>
      </c>
      <c r="I17" s="230">
        <f t="shared" si="5"/>
        <v>-3.589</v>
      </c>
    </row>
    <row r="18" spans="1:9" ht="15" customHeight="1" x14ac:dyDescent="0.2">
      <c r="A18" s="213">
        <f>A17-шаг.литр</f>
        <v>-10</v>
      </c>
      <c r="B18" s="251">
        <f>B17-шаг.темп.</f>
        <v>20</v>
      </c>
      <c r="C18" s="215">
        <f>Реал_Мощность</f>
        <v>1</v>
      </c>
      <c r="D18" s="218">
        <f t="shared" si="0"/>
        <v>-928</v>
      </c>
      <c r="E18" s="252">
        <f t="shared" si="1"/>
        <v>-55.68</v>
      </c>
      <c r="F18" s="253">
        <f t="shared" si="2"/>
        <v>-6250</v>
      </c>
      <c r="G18" s="219">
        <f t="shared" si="3"/>
        <v>-375</v>
      </c>
      <c r="H18" s="254">
        <f t="shared" si="4"/>
        <v>2714.8174046591153</v>
      </c>
      <c r="I18" s="221">
        <f t="shared" si="5"/>
        <v>-7.1779999999999999</v>
      </c>
    </row>
    <row r="19" spans="1:9" ht="14.25" customHeight="1" x14ac:dyDescent="0.15"/>
    <row r="20" spans="1:9" ht="14.25" customHeight="1" x14ac:dyDescent="0.15"/>
    <row r="21" spans="1:9" ht="14.25" customHeight="1" x14ac:dyDescent="0.15"/>
    <row r="22" spans="1:9" ht="14.25" customHeight="1" x14ac:dyDescent="0.15"/>
    <row r="23" spans="1:9" ht="14.25" customHeight="1" x14ac:dyDescent="0.15"/>
    <row r="24" spans="1:9" ht="14.25" customHeight="1" x14ac:dyDescent="0.15"/>
    <row r="25" spans="1:9" ht="14.25" customHeight="1" x14ac:dyDescent="0.15"/>
    <row r="26" spans="1:9" ht="14.25" customHeight="1" x14ac:dyDescent="0.15"/>
    <row r="27" spans="1:9" ht="14.25" customHeight="1" x14ac:dyDescent="0.15"/>
    <row r="28" spans="1:9" ht="14.25" customHeight="1" x14ac:dyDescent="0.15"/>
    <row r="29" spans="1:9" ht="14.25" customHeight="1" x14ac:dyDescent="0.15"/>
    <row r="30" spans="1:9" ht="14.25" customHeight="1" x14ac:dyDescent="0.15"/>
    <row r="31" spans="1:9" ht="14.25" customHeight="1" x14ac:dyDescent="0.15"/>
    <row r="32" spans="1:9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3">
    <mergeCell ref="E2:F2"/>
    <mergeCell ref="G2:I2"/>
    <mergeCell ref="E3:F3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6699"/>
  </sheetPr>
  <dimension ref="A1:F1000"/>
  <sheetViews>
    <sheetView workbookViewId="0"/>
  </sheetViews>
  <sheetFormatPr defaultColWidth="12.625" defaultRowHeight="15" customHeight="1" x14ac:dyDescent="0.15"/>
  <cols>
    <col min="1" max="3" width="10.05078125" customWidth="1"/>
    <col min="4" max="4" width="10.171875" customWidth="1"/>
    <col min="5" max="6" width="10.05078125" customWidth="1"/>
    <col min="7" max="26" width="14.33984375" customWidth="1"/>
  </cols>
  <sheetData>
    <row r="1" spans="1:6" ht="14.25" customHeight="1" x14ac:dyDescent="0.2">
      <c r="A1" s="362" t="s">
        <v>6</v>
      </c>
      <c r="B1" s="327"/>
      <c r="C1" s="327"/>
      <c r="D1" s="327"/>
      <c r="E1" s="327"/>
      <c r="F1" s="327"/>
    </row>
    <row r="3" spans="1:6" ht="21" customHeight="1" x14ac:dyDescent="0.3">
      <c r="A3" s="363" t="s">
        <v>76</v>
      </c>
      <c r="B3" s="317"/>
      <c r="C3" s="317"/>
      <c r="D3" s="317"/>
      <c r="E3" s="317"/>
      <c r="F3" s="318"/>
    </row>
    <row r="4" spans="1:6" ht="18" customHeight="1" x14ac:dyDescent="0.25">
      <c r="A4" s="364" t="s">
        <v>77</v>
      </c>
      <c r="B4" s="366" t="s">
        <v>78</v>
      </c>
      <c r="C4" s="368" t="s">
        <v>79</v>
      </c>
      <c r="D4" s="369" t="s">
        <v>80</v>
      </c>
      <c r="E4" s="371" t="s">
        <v>81</v>
      </c>
      <c r="F4" s="372"/>
    </row>
    <row r="5" spans="1:6" ht="28.5" customHeight="1" x14ac:dyDescent="0.15">
      <c r="A5" s="365"/>
      <c r="B5" s="367"/>
      <c r="C5" s="365"/>
      <c r="D5" s="370"/>
      <c r="E5" s="257" t="s">
        <v>82</v>
      </c>
      <c r="F5" s="258" t="s">
        <v>83</v>
      </c>
    </row>
    <row r="6" spans="1:6" ht="15" customHeight="1" x14ac:dyDescent="0.2">
      <c r="A6" s="259">
        <v>20</v>
      </c>
      <c r="B6" s="260">
        <v>5</v>
      </c>
      <c r="C6" s="261">
        <v>100</v>
      </c>
      <c r="D6" s="262">
        <v>4.5</v>
      </c>
      <c r="E6" s="263">
        <f t="shared" ref="E6:E20" si="0">(A6*B6+C6*D6)/(B6+D6)</f>
        <v>57.89473684210526</v>
      </c>
      <c r="F6" s="264">
        <f t="shared" ref="F6:F20" si="1">B6+D6</f>
        <v>9.5</v>
      </c>
    </row>
    <row r="7" spans="1:6" ht="15" customHeight="1" x14ac:dyDescent="0.2">
      <c r="A7" s="265">
        <v>19</v>
      </c>
      <c r="B7" s="266">
        <v>5.0999999999999996</v>
      </c>
      <c r="C7" s="267">
        <v>99</v>
      </c>
      <c r="D7" s="268">
        <v>5.5</v>
      </c>
      <c r="E7" s="269">
        <f t="shared" si="0"/>
        <v>60.509433962264154</v>
      </c>
      <c r="F7" s="270">
        <f t="shared" si="1"/>
        <v>10.6</v>
      </c>
    </row>
    <row r="8" spans="1:6" ht="15" customHeight="1" x14ac:dyDescent="0.2">
      <c r="A8" s="259">
        <v>18</v>
      </c>
      <c r="B8" s="260">
        <v>5.2</v>
      </c>
      <c r="C8" s="261">
        <v>98</v>
      </c>
      <c r="D8" s="262">
        <v>6</v>
      </c>
      <c r="E8" s="263">
        <f t="shared" si="0"/>
        <v>60.857142857142861</v>
      </c>
      <c r="F8" s="264">
        <f t="shared" si="1"/>
        <v>11.2</v>
      </c>
    </row>
    <row r="9" spans="1:6" ht="15" customHeight="1" x14ac:dyDescent="0.2">
      <c r="A9" s="265">
        <v>17</v>
      </c>
      <c r="B9" s="266">
        <v>5.3</v>
      </c>
      <c r="C9" s="267">
        <v>97</v>
      </c>
      <c r="D9" s="268">
        <v>6.5</v>
      </c>
      <c r="E9" s="269">
        <f t="shared" si="0"/>
        <v>61.067796610169488</v>
      </c>
      <c r="F9" s="270">
        <f t="shared" si="1"/>
        <v>11.8</v>
      </c>
    </row>
    <row r="10" spans="1:6" ht="15" customHeight="1" x14ac:dyDescent="0.2">
      <c r="A10" s="259">
        <v>16</v>
      </c>
      <c r="B10" s="260">
        <v>5.4</v>
      </c>
      <c r="C10" s="261">
        <v>96</v>
      </c>
      <c r="D10" s="262">
        <v>7</v>
      </c>
      <c r="E10" s="263">
        <f t="shared" si="0"/>
        <v>61.161290322580641</v>
      </c>
      <c r="F10" s="264">
        <f t="shared" si="1"/>
        <v>12.4</v>
      </c>
    </row>
    <row r="11" spans="1:6" ht="15" customHeight="1" x14ac:dyDescent="0.2">
      <c r="A11" s="265">
        <v>15</v>
      </c>
      <c r="B11" s="266">
        <v>5.5</v>
      </c>
      <c r="C11" s="267">
        <v>95</v>
      </c>
      <c r="D11" s="268">
        <v>7.5</v>
      </c>
      <c r="E11" s="269">
        <f t="shared" si="0"/>
        <v>61.153846153846153</v>
      </c>
      <c r="F11" s="270">
        <f t="shared" si="1"/>
        <v>13</v>
      </c>
    </row>
    <row r="12" spans="1:6" ht="15" customHeight="1" x14ac:dyDescent="0.2">
      <c r="A12" s="259">
        <v>14</v>
      </c>
      <c r="B12" s="260">
        <v>5.6</v>
      </c>
      <c r="C12" s="261">
        <v>94</v>
      </c>
      <c r="D12" s="262">
        <v>8</v>
      </c>
      <c r="E12" s="263">
        <f t="shared" si="0"/>
        <v>61.058823529411768</v>
      </c>
      <c r="F12" s="264">
        <f t="shared" si="1"/>
        <v>13.6</v>
      </c>
    </row>
    <row r="13" spans="1:6" ht="15" customHeight="1" x14ac:dyDescent="0.2">
      <c r="A13" s="265">
        <v>13</v>
      </c>
      <c r="B13" s="266">
        <v>5.7</v>
      </c>
      <c r="C13" s="267">
        <v>93</v>
      </c>
      <c r="D13" s="268">
        <v>8.5</v>
      </c>
      <c r="E13" s="269">
        <f t="shared" si="0"/>
        <v>60.887323943661976</v>
      </c>
      <c r="F13" s="270">
        <f t="shared" si="1"/>
        <v>14.2</v>
      </c>
    </row>
    <row r="14" spans="1:6" ht="15" customHeight="1" x14ac:dyDescent="0.2">
      <c r="A14" s="259">
        <v>12</v>
      </c>
      <c r="B14" s="260">
        <v>5.8</v>
      </c>
      <c r="C14" s="261">
        <v>92</v>
      </c>
      <c r="D14" s="262">
        <v>9</v>
      </c>
      <c r="E14" s="263">
        <f t="shared" si="0"/>
        <v>60.648648648648646</v>
      </c>
      <c r="F14" s="264">
        <f t="shared" si="1"/>
        <v>14.8</v>
      </c>
    </row>
    <row r="15" spans="1:6" ht="14.25" customHeight="1" x14ac:dyDescent="0.2">
      <c r="A15" s="265">
        <v>11</v>
      </c>
      <c r="B15" s="266">
        <v>5.9</v>
      </c>
      <c r="C15" s="267">
        <v>91</v>
      </c>
      <c r="D15" s="268">
        <v>9.5</v>
      </c>
      <c r="E15" s="269">
        <f t="shared" si="0"/>
        <v>60.350649350649348</v>
      </c>
      <c r="F15" s="270">
        <f t="shared" si="1"/>
        <v>15.4</v>
      </c>
    </row>
    <row r="16" spans="1:6" ht="15" customHeight="1" x14ac:dyDescent="0.2">
      <c r="A16" s="259">
        <v>10</v>
      </c>
      <c r="B16" s="260">
        <v>6</v>
      </c>
      <c r="C16" s="261">
        <v>0</v>
      </c>
      <c r="D16" s="262">
        <v>10</v>
      </c>
      <c r="E16" s="263">
        <f t="shared" si="0"/>
        <v>3.75</v>
      </c>
      <c r="F16" s="264">
        <f t="shared" si="1"/>
        <v>16</v>
      </c>
    </row>
    <row r="17" spans="1:6" ht="15" customHeight="1" x14ac:dyDescent="0.2">
      <c r="A17" s="265">
        <v>9</v>
      </c>
      <c r="B17" s="266">
        <v>6.1</v>
      </c>
      <c r="C17" s="267">
        <v>89</v>
      </c>
      <c r="D17" s="268">
        <v>10.5</v>
      </c>
      <c r="E17" s="269">
        <f t="shared" si="0"/>
        <v>59.602409638554214</v>
      </c>
      <c r="F17" s="270">
        <f t="shared" si="1"/>
        <v>16.600000000000001</v>
      </c>
    </row>
    <row r="18" spans="1:6" ht="15" customHeight="1" x14ac:dyDescent="0.2">
      <c r="A18" s="259">
        <v>8</v>
      </c>
      <c r="B18" s="260">
        <v>6.2</v>
      </c>
      <c r="C18" s="261">
        <v>88</v>
      </c>
      <c r="D18" s="262">
        <v>11</v>
      </c>
      <c r="E18" s="263">
        <f t="shared" si="0"/>
        <v>59.162790697674424</v>
      </c>
      <c r="F18" s="264">
        <f t="shared" si="1"/>
        <v>17.2</v>
      </c>
    </row>
    <row r="19" spans="1:6" ht="15" customHeight="1" x14ac:dyDescent="0.2">
      <c r="A19" s="265">
        <v>7</v>
      </c>
      <c r="B19" s="266">
        <v>6.3</v>
      </c>
      <c r="C19" s="267">
        <v>87</v>
      </c>
      <c r="D19" s="268">
        <v>11.5</v>
      </c>
      <c r="E19" s="269">
        <f t="shared" si="0"/>
        <v>58.685393258426956</v>
      </c>
      <c r="F19" s="270">
        <f t="shared" si="1"/>
        <v>17.8</v>
      </c>
    </row>
    <row r="20" spans="1:6" ht="15" customHeight="1" x14ac:dyDescent="0.2">
      <c r="A20" s="259">
        <v>0.93333333333333302</v>
      </c>
      <c r="B20" s="260">
        <v>6.4</v>
      </c>
      <c r="C20" s="261">
        <v>86</v>
      </c>
      <c r="D20" s="262">
        <v>12</v>
      </c>
      <c r="E20" s="263">
        <f t="shared" si="0"/>
        <v>56.411594202898556</v>
      </c>
      <c r="F20" s="264">
        <f t="shared" si="1"/>
        <v>18.399999999999999</v>
      </c>
    </row>
    <row r="21" spans="1:6" ht="14.25" customHeight="1" x14ac:dyDescent="0.15"/>
    <row r="22" spans="1:6" ht="14.25" customHeight="1" x14ac:dyDescent="0.15"/>
    <row r="23" spans="1:6" ht="14.25" customHeight="1" x14ac:dyDescent="0.15"/>
    <row r="24" spans="1:6" ht="14.25" customHeight="1" x14ac:dyDescent="0.15"/>
    <row r="25" spans="1:6" ht="14.25" customHeight="1" x14ac:dyDescent="0.15"/>
    <row r="26" spans="1:6" ht="14.25" customHeight="1" x14ac:dyDescent="0.15"/>
    <row r="27" spans="1:6" ht="14.25" customHeight="1" x14ac:dyDescent="0.15"/>
    <row r="28" spans="1:6" ht="14.25" customHeight="1" x14ac:dyDescent="0.15"/>
    <row r="29" spans="1:6" ht="14.25" customHeight="1" x14ac:dyDescent="0.15"/>
    <row r="30" spans="1:6" ht="14.25" customHeight="1" x14ac:dyDescent="0.15"/>
    <row r="31" spans="1:6" ht="14.25" customHeight="1" x14ac:dyDescent="0.15"/>
    <row r="32" spans="1:6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7">
    <mergeCell ref="A1:F1"/>
    <mergeCell ref="A3:F3"/>
    <mergeCell ref="A4:A5"/>
    <mergeCell ref="B4:B5"/>
    <mergeCell ref="C4:C5"/>
    <mergeCell ref="D4:D5"/>
    <mergeCell ref="E4:F4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00"/>
  </sheetPr>
  <dimension ref="A1:O1000"/>
  <sheetViews>
    <sheetView workbookViewId="0"/>
  </sheetViews>
  <sheetFormatPr defaultColWidth="12.625" defaultRowHeight="15" customHeight="1" x14ac:dyDescent="0.15"/>
  <cols>
    <col min="1" max="4" width="7.96484375" customWidth="1"/>
    <col min="5" max="5" width="9.19140625" customWidth="1"/>
    <col min="6" max="8" width="7.96484375" customWidth="1"/>
    <col min="9" max="9" width="5.26953125" customWidth="1"/>
    <col min="10" max="10" width="6.12890625" customWidth="1"/>
    <col min="11" max="11" width="4.65625" customWidth="1"/>
    <col min="12" max="12" width="7.96484375" customWidth="1"/>
    <col min="13" max="13" width="3.67578125" customWidth="1"/>
    <col min="14" max="14" width="5.76171875" customWidth="1"/>
    <col min="15" max="15" width="5.1484375" customWidth="1"/>
    <col min="16" max="26" width="14.33984375" customWidth="1"/>
  </cols>
  <sheetData>
    <row r="1" spans="1:15" ht="18" customHeight="1" x14ac:dyDescent="0.2">
      <c r="A1" s="39"/>
      <c r="B1" s="39"/>
      <c r="C1" s="39"/>
      <c r="D1" s="373" t="s">
        <v>84</v>
      </c>
      <c r="E1" s="318"/>
      <c r="F1" s="271">
        <v>220</v>
      </c>
      <c r="G1" s="39"/>
      <c r="H1" s="39"/>
      <c r="I1" s="39"/>
      <c r="J1" s="39"/>
      <c r="K1" s="39"/>
      <c r="L1" s="39"/>
      <c r="M1" s="39"/>
      <c r="N1" s="39"/>
      <c r="O1" s="39"/>
    </row>
    <row r="2" spans="1:15" ht="14.25" customHeight="1" x14ac:dyDescent="0.2">
      <c r="A2" s="272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4"/>
    </row>
    <row r="3" spans="1:15" ht="18" customHeight="1" x14ac:dyDescent="0.25">
      <c r="A3" s="275"/>
      <c r="B3" s="374" t="s">
        <v>85</v>
      </c>
      <c r="C3" s="327"/>
      <c r="D3" s="327"/>
      <c r="E3" s="327"/>
      <c r="F3" s="327"/>
      <c r="G3" s="327"/>
      <c r="H3" s="327"/>
      <c r="I3" s="39"/>
      <c r="J3" s="276"/>
      <c r="K3" s="276"/>
      <c r="L3" s="276"/>
      <c r="M3" s="276"/>
      <c r="N3" s="276"/>
      <c r="O3" s="277"/>
    </row>
    <row r="4" spans="1:15" ht="15" customHeight="1" x14ac:dyDescent="0.2">
      <c r="A4" s="275"/>
      <c r="B4" s="39"/>
      <c r="C4" s="39"/>
      <c r="D4" s="39"/>
      <c r="E4" s="39"/>
      <c r="F4" s="39"/>
      <c r="G4" s="39"/>
      <c r="H4" s="39"/>
      <c r="I4" s="39"/>
      <c r="J4" s="276"/>
      <c r="K4" s="278"/>
      <c r="L4" s="375">
        <v>1</v>
      </c>
      <c r="M4" s="279"/>
      <c r="N4" s="276"/>
      <c r="O4" s="277"/>
    </row>
    <row r="5" spans="1:15" ht="15" customHeight="1" x14ac:dyDescent="0.2">
      <c r="A5" s="275"/>
      <c r="B5" s="39"/>
      <c r="C5" s="184"/>
      <c r="D5" s="184"/>
      <c r="E5" s="184"/>
      <c r="F5" s="184"/>
      <c r="G5" s="184"/>
      <c r="H5" s="39"/>
      <c r="I5" s="39"/>
      <c r="J5" s="280"/>
      <c r="K5" s="276"/>
      <c r="L5" s="336"/>
      <c r="M5" s="276"/>
      <c r="N5" s="281"/>
      <c r="O5" s="277"/>
    </row>
    <row r="6" spans="1:15" ht="15" customHeight="1" x14ac:dyDescent="0.2">
      <c r="A6" s="275"/>
      <c r="B6" s="39"/>
      <c r="C6" s="39"/>
      <c r="D6" s="39"/>
      <c r="E6" s="39"/>
      <c r="F6" s="39"/>
      <c r="G6" s="39"/>
      <c r="H6" s="39"/>
      <c r="I6" s="39"/>
      <c r="J6" s="280"/>
      <c r="K6" s="276"/>
      <c r="L6" s="282"/>
      <c r="M6" s="276"/>
      <c r="N6" s="281"/>
      <c r="O6" s="277"/>
    </row>
    <row r="7" spans="1:15" ht="15" customHeight="1" x14ac:dyDescent="0.2">
      <c r="A7" s="275"/>
      <c r="B7" s="376" t="s">
        <v>86</v>
      </c>
      <c r="C7" s="377"/>
      <c r="D7" s="39"/>
      <c r="E7" s="283" t="s">
        <v>87</v>
      </c>
      <c r="F7" s="284"/>
      <c r="G7" s="378" t="s">
        <v>88</v>
      </c>
      <c r="H7" s="377"/>
      <c r="I7" s="39"/>
      <c r="J7" s="280"/>
      <c r="K7" s="278"/>
      <c r="L7" s="375">
        <v>2</v>
      </c>
      <c r="M7" s="279"/>
      <c r="N7" s="281"/>
      <c r="O7" s="277"/>
    </row>
    <row r="8" spans="1:15" ht="15" customHeight="1" x14ac:dyDescent="0.2">
      <c r="A8" s="275"/>
      <c r="B8" s="285" t="s">
        <v>89</v>
      </c>
      <c r="C8" s="286">
        <v>2</v>
      </c>
      <c r="D8" s="39"/>
      <c r="E8" s="39"/>
      <c r="F8" s="39"/>
      <c r="G8" s="285" t="s">
        <v>90</v>
      </c>
      <c r="H8" s="287">
        <v>6</v>
      </c>
      <c r="I8" s="39">
        <f>IF(Ом1=0,0,1/Ом1)</f>
        <v>0.16666666666666666</v>
      </c>
      <c r="J8" s="288"/>
      <c r="K8" s="276"/>
      <c r="L8" s="336"/>
      <c r="M8" s="276"/>
      <c r="N8" s="289"/>
      <c r="O8" s="277"/>
    </row>
    <row r="9" spans="1:15" ht="15" customHeight="1" x14ac:dyDescent="0.2">
      <c r="A9" s="275"/>
      <c r="B9" s="285" t="s">
        <v>91</v>
      </c>
      <c r="C9" s="286">
        <v>2</v>
      </c>
      <c r="D9" s="39"/>
      <c r="E9" s="39"/>
      <c r="F9" s="39"/>
      <c r="G9" s="285" t="s">
        <v>92</v>
      </c>
      <c r="H9" s="287">
        <v>1</v>
      </c>
      <c r="I9" s="39">
        <f>IF(Ом2=0,0,1/Ом2)</f>
        <v>1</v>
      </c>
      <c r="J9" s="280"/>
      <c r="K9" s="276"/>
      <c r="L9" s="282"/>
      <c r="M9" s="276"/>
      <c r="N9" s="281"/>
      <c r="O9" s="277"/>
    </row>
    <row r="10" spans="1:15" ht="15" customHeight="1" x14ac:dyDescent="0.2">
      <c r="A10" s="275"/>
      <c r="B10" s="285" t="s">
        <v>93</v>
      </c>
      <c r="C10" s="286">
        <v>2</v>
      </c>
      <c r="D10" s="39"/>
      <c r="E10" s="39"/>
      <c r="F10" s="39"/>
      <c r="G10" s="285" t="s">
        <v>94</v>
      </c>
      <c r="H10" s="287">
        <v>1</v>
      </c>
      <c r="I10" s="39">
        <f>IF(Ом3=0,0,1/Ом3)</f>
        <v>1</v>
      </c>
      <c r="J10" s="280"/>
      <c r="K10" s="278"/>
      <c r="L10" s="375">
        <v>3</v>
      </c>
      <c r="M10" s="279"/>
      <c r="N10" s="281"/>
      <c r="O10" s="277"/>
    </row>
    <row r="11" spans="1:15" ht="15" customHeight="1" x14ac:dyDescent="0.2">
      <c r="A11" s="275"/>
      <c r="B11" s="285" t="s">
        <v>95</v>
      </c>
      <c r="C11" s="286">
        <v>2</v>
      </c>
      <c r="D11" s="39"/>
      <c r="E11" s="39"/>
      <c r="F11" s="39"/>
      <c r="G11" s="285" t="s">
        <v>96</v>
      </c>
      <c r="H11" s="287">
        <v>0</v>
      </c>
      <c r="I11" s="39">
        <f>IF(Ом4=0,0,1/Ом4)</f>
        <v>0</v>
      </c>
      <c r="J11" s="280"/>
      <c r="K11" s="276"/>
      <c r="L11" s="336"/>
      <c r="M11" s="276"/>
      <c r="N11" s="281"/>
      <c r="O11" s="277"/>
    </row>
    <row r="12" spans="1:15" ht="15" customHeight="1" x14ac:dyDescent="0.2">
      <c r="A12" s="275"/>
      <c r="B12" s="39"/>
      <c r="C12" s="26"/>
      <c r="D12" s="39"/>
      <c r="E12" s="39"/>
      <c r="F12" s="39"/>
      <c r="G12" s="39"/>
      <c r="H12" s="39"/>
      <c r="I12" s="39">
        <f>I8+I9+I10+I11</f>
        <v>2.166666666666667</v>
      </c>
      <c r="J12" s="280"/>
      <c r="K12" s="276"/>
      <c r="L12" s="282"/>
      <c r="M12" s="276"/>
      <c r="N12" s="281"/>
      <c r="O12" s="277"/>
    </row>
    <row r="13" spans="1:15" ht="15" customHeight="1" x14ac:dyDescent="0.2">
      <c r="A13" s="275"/>
      <c r="B13" s="290" t="s">
        <v>97</v>
      </c>
      <c r="C13" s="291">
        <f>C8+C9+C10+C11</f>
        <v>8</v>
      </c>
      <c r="D13" s="39"/>
      <c r="E13" s="39"/>
      <c r="F13" s="39"/>
      <c r="G13" s="290" t="s">
        <v>98</v>
      </c>
      <c r="H13" s="291">
        <f>IF(I12=0,0,1/I12)</f>
        <v>0.46153846153846145</v>
      </c>
      <c r="I13" s="39"/>
      <c r="J13" s="280"/>
      <c r="K13" s="278"/>
      <c r="L13" s="375">
        <v>4</v>
      </c>
      <c r="M13" s="279"/>
      <c r="N13" s="281"/>
      <c r="O13" s="277"/>
    </row>
    <row r="14" spans="1:15" ht="15" customHeight="1" x14ac:dyDescent="0.2">
      <c r="A14" s="275"/>
      <c r="B14" s="39"/>
      <c r="C14" s="39"/>
      <c r="D14" s="39"/>
      <c r="E14" s="39"/>
      <c r="F14" s="39"/>
      <c r="G14" s="39"/>
      <c r="H14" s="39"/>
      <c r="I14" s="39"/>
      <c r="J14" s="276"/>
      <c r="K14" s="276"/>
      <c r="L14" s="336"/>
      <c r="M14" s="276"/>
      <c r="N14" s="276"/>
      <c r="O14" s="277"/>
    </row>
    <row r="15" spans="1:15" ht="15" customHeight="1" x14ac:dyDescent="0.2">
      <c r="A15" s="292"/>
      <c r="B15" s="293"/>
      <c r="C15" s="293"/>
      <c r="D15" s="293"/>
      <c r="E15" s="293"/>
      <c r="F15" s="293"/>
      <c r="G15" s="293"/>
      <c r="H15" s="293"/>
      <c r="I15" s="293"/>
      <c r="J15" s="294"/>
      <c r="K15" s="294"/>
      <c r="L15" s="294"/>
      <c r="M15" s="294"/>
      <c r="N15" s="294"/>
      <c r="O15" s="295"/>
    </row>
    <row r="16" spans="1:15" ht="14.25" customHeight="1" x14ac:dyDescent="0.2">
      <c r="A16" s="272"/>
      <c r="B16" s="296"/>
      <c r="C16" s="296"/>
      <c r="D16" s="296"/>
      <c r="E16" s="296"/>
      <c r="F16" s="296"/>
      <c r="G16" s="296"/>
      <c r="H16" s="296"/>
      <c r="I16" s="273"/>
      <c r="J16" s="273"/>
      <c r="K16" s="273"/>
      <c r="L16" s="273"/>
      <c r="M16" s="273"/>
      <c r="N16" s="273"/>
      <c r="O16" s="274"/>
    </row>
    <row r="17" spans="1:15" ht="18" customHeight="1" x14ac:dyDescent="0.25">
      <c r="A17" s="275"/>
      <c r="B17" s="374" t="s">
        <v>99</v>
      </c>
      <c r="C17" s="327"/>
      <c r="D17" s="327"/>
      <c r="E17" s="327"/>
      <c r="F17" s="327"/>
      <c r="G17" s="327"/>
      <c r="H17" s="327"/>
      <c r="I17" s="39"/>
      <c r="J17" s="39"/>
      <c r="K17" s="39"/>
      <c r="L17" s="39"/>
      <c r="M17" s="39"/>
      <c r="N17" s="39"/>
      <c r="O17" s="277"/>
    </row>
    <row r="18" spans="1:15" ht="14.25" customHeight="1" x14ac:dyDescent="0.2">
      <c r="A18" s="275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277"/>
    </row>
    <row r="19" spans="1:15" ht="15" customHeight="1" x14ac:dyDescent="0.2">
      <c r="A19" s="276"/>
      <c r="B19" s="276"/>
      <c r="C19" s="276"/>
      <c r="D19" s="276"/>
      <c r="E19" s="276"/>
      <c r="F19" s="276"/>
      <c r="G19" s="276"/>
      <c r="H19" s="276"/>
      <c r="I19" s="276"/>
      <c r="J19" s="39"/>
      <c r="K19" s="39"/>
      <c r="L19" s="39"/>
      <c r="M19" s="39"/>
      <c r="N19" s="39"/>
      <c r="O19" s="277"/>
    </row>
    <row r="20" spans="1:15" ht="10.5" customHeight="1" x14ac:dyDescent="0.2">
      <c r="A20" s="294"/>
      <c r="B20" s="375">
        <v>1</v>
      </c>
      <c r="C20" s="297"/>
      <c r="D20" s="375">
        <v>2</v>
      </c>
      <c r="E20" s="297"/>
      <c r="F20" s="375">
        <v>3</v>
      </c>
      <c r="G20" s="297"/>
      <c r="H20" s="375">
        <v>4</v>
      </c>
      <c r="I20" s="294"/>
      <c r="J20" s="39"/>
      <c r="K20" s="39"/>
      <c r="L20" s="39"/>
      <c r="M20" s="39"/>
      <c r="N20" s="39"/>
      <c r="O20" s="277"/>
    </row>
    <row r="21" spans="1:15" ht="10.5" customHeight="1" x14ac:dyDescent="0.2">
      <c r="A21" s="276"/>
      <c r="B21" s="336"/>
      <c r="C21" s="298"/>
      <c r="D21" s="336"/>
      <c r="E21" s="298"/>
      <c r="F21" s="336"/>
      <c r="G21" s="298"/>
      <c r="H21" s="336"/>
      <c r="I21" s="276"/>
      <c r="J21" s="39"/>
      <c r="K21" s="39"/>
      <c r="L21" s="39"/>
      <c r="M21" s="39"/>
      <c r="N21" s="39"/>
      <c r="O21" s="277"/>
    </row>
    <row r="22" spans="1:15" ht="14.25" customHeight="1" x14ac:dyDescent="0.2">
      <c r="A22" s="276"/>
      <c r="B22" s="276"/>
      <c r="C22" s="276"/>
      <c r="D22" s="276"/>
      <c r="E22" s="276"/>
      <c r="F22" s="276"/>
      <c r="G22" s="276"/>
      <c r="H22" s="276"/>
      <c r="I22" s="276"/>
      <c r="J22" s="39"/>
      <c r="K22" s="39"/>
      <c r="L22" s="39"/>
      <c r="M22" s="39"/>
      <c r="N22" s="39"/>
      <c r="O22" s="277"/>
    </row>
    <row r="23" spans="1:15" ht="14.25" customHeight="1" x14ac:dyDescent="0.2">
      <c r="A23" s="275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277"/>
    </row>
    <row r="24" spans="1:15" ht="14.25" customHeight="1" x14ac:dyDescent="0.2">
      <c r="A24" s="275"/>
      <c r="B24" s="380" t="s">
        <v>86</v>
      </c>
      <c r="C24" s="377"/>
      <c r="D24" s="188"/>
      <c r="E24" s="283" t="s">
        <v>87</v>
      </c>
      <c r="F24" s="39"/>
      <c r="G24" s="379" t="s">
        <v>88</v>
      </c>
      <c r="H24" s="377"/>
      <c r="I24" s="39"/>
      <c r="J24" s="39"/>
      <c r="K24" s="39"/>
      <c r="L24" s="39"/>
      <c r="M24" s="39"/>
      <c r="N24" s="39"/>
      <c r="O24" s="277"/>
    </row>
    <row r="25" spans="1:15" ht="17.25" customHeight="1" x14ac:dyDescent="0.2">
      <c r="A25" s="275"/>
      <c r="B25" s="285" t="s">
        <v>89</v>
      </c>
      <c r="C25" s="286">
        <v>2</v>
      </c>
      <c r="D25" s="39">
        <f>IF(Мощность1=0,0,POWER(Подключения!напряжение,2)/Мощность1)</f>
        <v>24200</v>
      </c>
      <c r="E25" s="39"/>
      <c r="F25" s="39"/>
      <c r="G25" s="299" t="s">
        <v>90</v>
      </c>
      <c r="H25" s="287">
        <v>2</v>
      </c>
      <c r="I25" s="39"/>
      <c r="J25" s="39"/>
      <c r="K25" s="39"/>
      <c r="L25" s="39"/>
      <c r="M25" s="39"/>
      <c r="N25" s="39"/>
      <c r="O25" s="277"/>
    </row>
    <row r="26" spans="1:15" ht="17.25" customHeight="1" x14ac:dyDescent="0.2">
      <c r="A26" s="275"/>
      <c r="B26" s="285" t="s">
        <v>91</v>
      </c>
      <c r="C26" s="286">
        <v>2</v>
      </c>
      <c r="D26" s="39">
        <f>IF(Мощность2=0,0,POWER(Подключения!напряжение,2)/Мощность2)</f>
        <v>24200</v>
      </c>
      <c r="E26" s="39"/>
      <c r="F26" s="39"/>
      <c r="G26" s="299" t="s">
        <v>92</v>
      </c>
      <c r="H26" s="287">
        <v>0</v>
      </c>
      <c r="I26" s="39"/>
      <c r="J26" s="39"/>
      <c r="K26" s="39"/>
      <c r="L26" s="39"/>
      <c r="M26" s="39"/>
      <c r="N26" s="39"/>
      <c r="O26" s="277"/>
    </row>
    <row r="27" spans="1:15" ht="17.25" customHeight="1" x14ac:dyDescent="0.2">
      <c r="A27" s="275"/>
      <c r="B27" s="285" t="s">
        <v>93</v>
      </c>
      <c r="C27" s="286">
        <v>2</v>
      </c>
      <c r="D27" s="39">
        <f>IF(мОЩНОСТЬ3=0,0,POWER(Подключения!напряжение,2)/мОЩНОСТЬ3)</f>
        <v>24200</v>
      </c>
      <c r="E27" s="39"/>
      <c r="F27" s="39"/>
      <c r="G27" s="299" t="s">
        <v>94</v>
      </c>
      <c r="H27" s="287">
        <v>2</v>
      </c>
      <c r="I27" s="39"/>
      <c r="J27" s="39"/>
      <c r="K27" s="39"/>
      <c r="L27" s="39"/>
      <c r="M27" s="39"/>
      <c r="N27" s="39"/>
      <c r="O27" s="277"/>
    </row>
    <row r="28" spans="1:15" ht="17.25" customHeight="1" x14ac:dyDescent="0.2">
      <c r="A28" s="275"/>
      <c r="B28" s="285" t="s">
        <v>95</v>
      </c>
      <c r="C28" s="286">
        <v>2</v>
      </c>
      <c r="D28" s="39">
        <f>IF(Мощность4=0,0,POWER(Подключения!напряжение,2)/Мощность4)</f>
        <v>24200</v>
      </c>
      <c r="E28" s="39"/>
      <c r="F28" s="39"/>
      <c r="G28" s="299" t="s">
        <v>96</v>
      </c>
      <c r="H28" s="287">
        <v>0</v>
      </c>
      <c r="I28" s="39"/>
      <c r="J28" s="39"/>
      <c r="K28" s="39"/>
      <c r="L28" s="39"/>
      <c r="M28" s="39"/>
      <c r="N28" s="39"/>
      <c r="O28" s="277"/>
    </row>
    <row r="29" spans="1:15" ht="15" customHeight="1" x14ac:dyDescent="0.2">
      <c r="A29" s="275"/>
      <c r="B29" s="39"/>
      <c r="C29" s="39"/>
      <c r="D29" s="39">
        <f>D25+D26+D27+D28</f>
        <v>96800</v>
      </c>
      <c r="E29" s="39"/>
      <c r="F29" s="39"/>
      <c r="G29" s="26"/>
      <c r="H29" s="26"/>
      <c r="I29" s="39"/>
      <c r="J29" s="39"/>
      <c r="K29" s="39"/>
      <c r="L29" s="39"/>
      <c r="M29" s="39"/>
      <c r="N29" s="39"/>
      <c r="O29" s="277"/>
    </row>
    <row r="30" spans="1:15" ht="18" customHeight="1" x14ac:dyDescent="0.2">
      <c r="A30" s="275"/>
      <c r="B30" s="290" t="s">
        <v>97</v>
      </c>
      <c r="C30" s="291">
        <f>IF(D29=0,0,POWER(Подключения!напряжение,2)/D29)</f>
        <v>0.5</v>
      </c>
      <c r="D30" s="39"/>
      <c r="E30" s="39"/>
      <c r="F30" s="39"/>
      <c r="G30" s="300" t="s">
        <v>100</v>
      </c>
      <c r="H30" s="291">
        <f>H25+H26+H27+H28</f>
        <v>4</v>
      </c>
      <c r="I30" s="39"/>
      <c r="J30" s="39"/>
      <c r="K30" s="39"/>
      <c r="L30" s="39"/>
      <c r="M30" s="39"/>
      <c r="N30" s="39"/>
      <c r="O30" s="277"/>
    </row>
    <row r="31" spans="1:15" ht="14.25" customHeight="1" x14ac:dyDescent="0.2">
      <c r="A31" s="275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277"/>
    </row>
    <row r="32" spans="1:15" ht="14.25" customHeight="1" x14ac:dyDescent="0.2">
      <c r="A32" s="275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277"/>
    </row>
    <row r="33" spans="1:15" ht="15" customHeight="1" x14ac:dyDescent="0.2">
      <c r="A33" s="292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5"/>
    </row>
    <row r="34" spans="1:15" ht="14.25" customHeight="1" x14ac:dyDescent="0.2">
      <c r="A34" s="272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4"/>
    </row>
    <row r="35" spans="1:15" ht="18" customHeight="1" x14ac:dyDescent="0.25">
      <c r="A35" s="275"/>
      <c r="B35" s="374" t="s">
        <v>101</v>
      </c>
      <c r="C35" s="327"/>
      <c r="D35" s="327"/>
      <c r="E35" s="327"/>
      <c r="F35" s="327"/>
      <c r="G35" s="327"/>
      <c r="H35" s="327"/>
      <c r="I35" s="39"/>
      <c r="J35" s="276"/>
      <c r="K35" s="276"/>
      <c r="L35" s="276"/>
      <c r="M35" s="276"/>
      <c r="N35" s="276"/>
      <c r="O35" s="277"/>
    </row>
    <row r="36" spans="1:15" ht="15" customHeight="1" x14ac:dyDescent="0.2">
      <c r="A36" s="275"/>
      <c r="B36" s="39"/>
      <c r="C36" s="39"/>
      <c r="D36" s="39"/>
      <c r="E36" s="39"/>
      <c r="F36" s="39"/>
      <c r="G36" s="39"/>
      <c r="H36" s="39"/>
      <c r="I36" s="39"/>
      <c r="J36" s="276"/>
      <c r="K36" s="278"/>
      <c r="L36" s="375">
        <v>1</v>
      </c>
      <c r="M36" s="279"/>
      <c r="N36" s="276"/>
      <c r="O36" s="277"/>
    </row>
    <row r="37" spans="1:15" ht="15" customHeight="1" x14ac:dyDescent="0.2">
      <c r="A37" s="275"/>
      <c r="B37" s="39"/>
      <c r="C37" s="39"/>
      <c r="D37" s="39"/>
      <c r="E37" s="39"/>
      <c r="F37" s="39"/>
      <c r="G37" s="39"/>
      <c r="H37" s="39"/>
      <c r="I37" s="39"/>
      <c r="J37" s="280"/>
      <c r="K37" s="276"/>
      <c r="L37" s="336"/>
      <c r="M37" s="276"/>
      <c r="N37" s="281"/>
      <c r="O37" s="277"/>
    </row>
    <row r="38" spans="1:15" ht="18" customHeight="1" x14ac:dyDescent="0.2">
      <c r="A38" s="275"/>
      <c r="B38" s="39"/>
      <c r="C38" s="39"/>
      <c r="D38" s="39"/>
      <c r="E38" s="39"/>
      <c r="F38" s="39"/>
      <c r="G38" s="276"/>
      <c r="H38" s="276"/>
      <c r="I38" s="276"/>
      <c r="J38" s="280"/>
      <c r="K38" s="276"/>
      <c r="L38" s="282"/>
      <c r="M38" s="276"/>
      <c r="N38" s="281"/>
      <c r="O38" s="277"/>
    </row>
    <row r="39" spans="1:15" ht="18" customHeight="1" x14ac:dyDescent="0.2">
      <c r="A39" s="275"/>
      <c r="B39" s="39"/>
      <c r="C39" s="39"/>
      <c r="D39" s="39"/>
      <c r="E39" s="39"/>
      <c r="F39" s="39"/>
      <c r="G39" s="297"/>
      <c r="H39" s="375">
        <v>4</v>
      </c>
      <c r="I39" s="294"/>
      <c r="J39" s="288"/>
      <c r="K39" s="278"/>
      <c r="L39" s="375">
        <v>2</v>
      </c>
      <c r="M39" s="279"/>
      <c r="N39" s="289"/>
      <c r="O39" s="277"/>
    </row>
    <row r="40" spans="1:15" ht="15" customHeight="1" x14ac:dyDescent="0.2">
      <c r="A40" s="275"/>
      <c r="B40" s="39"/>
      <c r="C40" s="39"/>
      <c r="D40" s="39"/>
      <c r="E40" s="39"/>
      <c r="F40" s="39"/>
      <c r="G40" s="298"/>
      <c r="H40" s="336"/>
      <c r="I40" s="276"/>
      <c r="J40" s="280"/>
      <c r="K40" s="276"/>
      <c r="L40" s="336"/>
      <c r="M40" s="276"/>
      <c r="N40" s="281"/>
      <c r="O40" s="277"/>
    </row>
    <row r="41" spans="1:15" ht="18" customHeight="1" x14ac:dyDescent="0.2">
      <c r="A41" s="275"/>
      <c r="B41" s="39"/>
      <c r="C41" s="39"/>
      <c r="D41" s="39"/>
      <c r="E41" s="39"/>
      <c r="F41" s="39"/>
      <c r="G41" s="276"/>
      <c r="H41" s="276"/>
      <c r="I41" s="276"/>
      <c r="J41" s="280"/>
      <c r="K41" s="276"/>
      <c r="L41" s="282"/>
      <c r="M41" s="276"/>
      <c r="N41" s="281"/>
      <c r="O41" s="277"/>
    </row>
    <row r="42" spans="1:15" ht="15" customHeight="1" x14ac:dyDescent="0.2">
      <c r="A42" s="275"/>
      <c r="B42" s="39"/>
      <c r="C42" s="39"/>
      <c r="D42" s="39"/>
      <c r="E42" s="39"/>
      <c r="F42" s="39"/>
      <c r="G42" s="39"/>
      <c r="H42" s="39"/>
      <c r="I42" s="39"/>
      <c r="J42" s="280"/>
      <c r="K42" s="278"/>
      <c r="L42" s="375">
        <v>3</v>
      </c>
      <c r="M42" s="279"/>
      <c r="N42" s="281"/>
      <c r="O42" s="277"/>
    </row>
    <row r="43" spans="1:15" ht="15" customHeight="1" x14ac:dyDescent="0.2">
      <c r="A43" s="275"/>
      <c r="B43" s="380" t="s">
        <v>86</v>
      </c>
      <c r="C43" s="377"/>
      <c r="D43" s="188"/>
      <c r="E43" s="283" t="s">
        <v>87</v>
      </c>
      <c r="F43" s="39"/>
      <c r="G43" s="379" t="s">
        <v>88</v>
      </c>
      <c r="H43" s="377"/>
      <c r="I43" s="39"/>
      <c r="J43" s="276"/>
      <c r="K43" s="301"/>
      <c r="L43" s="336"/>
      <c r="M43" s="276"/>
      <c r="N43" s="276"/>
      <c r="O43" s="277"/>
    </row>
    <row r="44" spans="1:15" ht="16.5" customHeight="1" x14ac:dyDescent="0.2">
      <c r="A44" s="275"/>
      <c r="B44" s="285" t="s">
        <v>89</v>
      </c>
      <c r="C44" s="286">
        <v>0</v>
      </c>
      <c r="D44" s="39">
        <f>IF(C44=0,0,POWER(Подключения!напряжение,2)/C44)</f>
        <v>0</v>
      </c>
      <c r="E44" s="39">
        <f t="shared" ref="E44:E46" si="0">IF(D44=0,0,1/D44)</f>
        <v>0</v>
      </c>
      <c r="F44" s="39"/>
      <c r="G44" s="299" t="s">
        <v>90</v>
      </c>
      <c r="H44" s="287">
        <v>0</v>
      </c>
      <c r="I44" s="39">
        <f t="shared" ref="I44:I46" si="1">IF(H44=0,0,1/H44)</f>
        <v>0</v>
      </c>
      <c r="J44" s="276"/>
      <c r="K44" s="276"/>
      <c r="L44" s="276"/>
      <c r="M44" s="276"/>
      <c r="N44" s="276"/>
      <c r="O44" s="277"/>
    </row>
    <row r="45" spans="1:15" ht="16.5" customHeight="1" x14ac:dyDescent="0.2">
      <c r="A45" s="275"/>
      <c r="B45" s="285" t="s">
        <v>91</v>
      </c>
      <c r="C45" s="286">
        <v>2</v>
      </c>
      <c r="D45" s="39">
        <f>IF(C45=0,0,POWER(Подключения!напряжение,2)/C45)</f>
        <v>24200</v>
      </c>
      <c r="E45" s="39">
        <f t="shared" si="0"/>
        <v>4.132231404958678E-5</v>
      </c>
      <c r="F45" s="39"/>
      <c r="G45" s="299" t="s">
        <v>92</v>
      </c>
      <c r="H45" s="287">
        <v>2</v>
      </c>
      <c r="I45" s="39">
        <f t="shared" si="1"/>
        <v>0.5</v>
      </c>
      <c r="J45" s="39"/>
      <c r="K45" s="39"/>
      <c r="L45" s="39"/>
      <c r="M45" s="39"/>
      <c r="N45" s="39"/>
      <c r="O45" s="277"/>
    </row>
    <row r="46" spans="1:15" ht="16.5" customHeight="1" x14ac:dyDescent="0.2">
      <c r="A46" s="275"/>
      <c r="B46" s="285" t="s">
        <v>93</v>
      </c>
      <c r="C46" s="286">
        <v>2</v>
      </c>
      <c r="D46" s="39">
        <f>IF(C46=0,0,POWER(Подключения!напряжение,2)/C46)</f>
        <v>24200</v>
      </c>
      <c r="E46" s="39">
        <f t="shared" si="0"/>
        <v>4.132231404958678E-5</v>
      </c>
      <c r="F46" s="39">
        <f>IF((E44+E45+E46)=0,0,1/(E44+E45+E46))</f>
        <v>12100</v>
      </c>
      <c r="G46" s="299" t="s">
        <v>94</v>
      </c>
      <c r="H46" s="287">
        <v>2</v>
      </c>
      <c r="I46" s="39">
        <f t="shared" si="1"/>
        <v>0.5</v>
      </c>
      <c r="J46" s="39"/>
      <c r="K46" s="39"/>
      <c r="L46" s="39">
        <f>(I44+I45+I46)</f>
        <v>1</v>
      </c>
      <c r="M46" s="39"/>
      <c r="N46" s="39"/>
      <c r="O46" s="277"/>
    </row>
    <row r="47" spans="1:15" ht="16.5" customHeight="1" x14ac:dyDescent="0.2">
      <c r="A47" s="275"/>
      <c r="B47" s="302"/>
      <c r="C47" s="303"/>
      <c r="D47" s="39"/>
      <c r="E47" s="39"/>
      <c r="F47" s="39"/>
      <c r="G47" s="304"/>
      <c r="H47" s="305"/>
      <c r="I47" s="39"/>
      <c r="J47" s="39"/>
      <c r="K47" s="39"/>
      <c r="L47" s="39"/>
      <c r="M47" s="39"/>
      <c r="N47" s="39"/>
      <c r="O47" s="277"/>
    </row>
    <row r="48" spans="1:15" ht="16.5" customHeight="1" x14ac:dyDescent="0.2">
      <c r="A48" s="275"/>
      <c r="B48" s="285" t="s">
        <v>95</v>
      </c>
      <c r="C48" s="286">
        <v>2</v>
      </c>
      <c r="D48" s="39">
        <f>IF(C48=0,0,POWER(Подключения!напряжение,2)/C48)</f>
        <v>24200</v>
      </c>
      <c r="E48" s="39" t="b">
        <f>OR(D48=0,F46=0,0)</f>
        <v>0</v>
      </c>
      <c r="F48" s="39">
        <f>IF(F46=TRUE,0,F46+D48)</f>
        <v>36300</v>
      </c>
      <c r="G48" s="299" t="s">
        <v>96</v>
      </c>
      <c r="H48" s="287">
        <v>2</v>
      </c>
      <c r="I48" s="39"/>
      <c r="J48" s="39">
        <f>IF(L48=TRUE,0,(L48+H48))</f>
        <v>3</v>
      </c>
      <c r="K48" s="39" t="b">
        <f>OR(H48=0,L46=0)</f>
        <v>0</v>
      </c>
      <c r="L48" s="39">
        <f>IF(L46=0,0,1/L46)</f>
        <v>1</v>
      </c>
      <c r="M48" s="39"/>
      <c r="N48" s="39"/>
      <c r="O48" s="277"/>
    </row>
    <row r="49" spans="1:15" ht="15" customHeight="1" x14ac:dyDescent="0.2">
      <c r="A49" s="275"/>
      <c r="B49" s="39"/>
      <c r="C49" s="39"/>
      <c r="D49" s="39"/>
      <c r="E49" s="39"/>
      <c r="F49" s="39"/>
      <c r="G49" s="26"/>
      <c r="H49" s="26"/>
      <c r="I49" s="39"/>
      <c r="J49" s="39"/>
      <c r="K49" s="39"/>
      <c r="L49" s="39"/>
      <c r="M49" s="39"/>
      <c r="N49" s="39"/>
      <c r="O49" s="277"/>
    </row>
    <row r="50" spans="1:15" ht="18" customHeight="1" x14ac:dyDescent="0.2">
      <c r="A50" s="275"/>
      <c r="B50" s="290" t="s">
        <v>97</v>
      </c>
      <c r="C50" s="291">
        <f>IF(F48=0,"?",POWER(Подключения!напряжение,2)/F48)</f>
        <v>1.3333333333333333</v>
      </c>
      <c r="D50" s="39"/>
      <c r="E50" s="39"/>
      <c r="F50" s="39"/>
      <c r="G50" s="300" t="s">
        <v>100</v>
      </c>
      <c r="H50" s="291">
        <f>IF(J48=0,"?",J48)</f>
        <v>3</v>
      </c>
      <c r="I50" s="39"/>
      <c r="J50" s="39"/>
      <c r="K50" s="39"/>
      <c r="L50" s="39"/>
      <c r="M50" s="39"/>
      <c r="N50" s="39"/>
      <c r="O50" s="277"/>
    </row>
    <row r="51" spans="1:15" ht="15" customHeight="1" x14ac:dyDescent="0.2">
      <c r="A51" s="292"/>
      <c r="B51" s="293"/>
      <c r="C51" s="293"/>
      <c r="D51" s="293"/>
      <c r="E51" s="293"/>
      <c r="F51" s="293"/>
      <c r="G51" s="293"/>
      <c r="H51" s="293"/>
      <c r="I51" s="293"/>
      <c r="J51" s="293"/>
      <c r="K51" s="293"/>
      <c r="L51" s="293"/>
      <c r="M51" s="293"/>
      <c r="N51" s="293"/>
      <c r="O51" s="295"/>
    </row>
    <row r="52" spans="1:15" ht="14.25" customHeight="1" x14ac:dyDescent="0.15"/>
    <row r="53" spans="1:15" ht="14.25" customHeight="1" x14ac:dyDescent="0.15"/>
    <row r="54" spans="1:15" ht="14.25" customHeight="1" x14ac:dyDescent="0.15"/>
    <row r="55" spans="1:15" ht="14.25" customHeight="1" x14ac:dyDescent="0.15"/>
    <row r="56" spans="1:15" ht="14.25" customHeight="1" x14ac:dyDescent="0.15"/>
    <row r="57" spans="1:15" ht="14.25" customHeight="1" x14ac:dyDescent="0.15"/>
    <row r="58" spans="1:15" ht="14.25" customHeight="1" x14ac:dyDescent="0.15"/>
    <row r="59" spans="1:15" ht="14.25" customHeight="1" x14ac:dyDescent="0.15"/>
    <row r="60" spans="1:15" ht="14.25" customHeight="1" x14ac:dyDescent="0.15"/>
    <row r="61" spans="1:15" ht="14.25" customHeight="1" x14ac:dyDescent="0.15"/>
    <row r="62" spans="1:15" ht="14.25" customHeight="1" x14ac:dyDescent="0.15"/>
    <row r="63" spans="1:15" ht="14.25" customHeight="1" x14ac:dyDescent="0.15"/>
    <row r="64" spans="1:15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2">
    <mergeCell ref="L42:L43"/>
    <mergeCell ref="B43:C43"/>
    <mergeCell ref="G43:H43"/>
    <mergeCell ref="L13:L14"/>
    <mergeCell ref="B17:H17"/>
    <mergeCell ref="B20:B21"/>
    <mergeCell ref="D20:D21"/>
    <mergeCell ref="F20:F21"/>
    <mergeCell ref="H20:H21"/>
    <mergeCell ref="B24:C24"/>
    <mergeCell ref="L10:L11"/>
    <mergeCell ref="G24:H24"/>
    <mergeCell ref="B35:H35"/>
    <mergeCell ref="L36:L37"/>
    <mergeCell ref="H39:H40"/>
    <mergeCell ref="L39:L40"/>
    <mergeCell ref="D1:E1"/>
    <mergeCell ref="B3:H3"/>
    <mergeCell ref="L4:L5"/>
    <mergeCell ref="B7:C7"/>
    <mergeCell ref="G7:H7"/>
    <mergeCell ref="L7:L8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0"/>
  <sheetViews>
    <sheetView workbookViewId="0"/>
  </sheetViews>
  <sheetFormatPr defaultColWidth="12.625" defaultRowHeight="15" customHeight="1" x14ac:dyDescent="0.15"/>
  <cols>
    <col min="1" max="1" width="13.97265625" customWidth="1"/>
    <col min="2" max="2" width="15.078125" customWidth="1"/>
    <col min="3" max="3" width="15.69140625" customWidth="1"/>
    <col min="4" max="6" width="7.96484375" customWidth="1"/>
    <col min="7" max="26" width="14.33984375" customWidth="1"/>
  </cols>
  <sheetData>
    <row r="1" spans="1:5" ht="14.25" customHeight="1" x14ac:dyDescent="0.2">
      <c r="A1" s="39"/>
      <c r="B1" s="39"/>
      <c r="C1" s="39"/>
      <c r="D1" s="39" t="s">
        <v>102</v>
      </c>
      <c r="E1" s="39" t="s">
        <v>103</v>
      </c>
    </row>
    <row r="2" spans="1:5" ht="15" customHeight="1" x14ac:dyDescent="0.2">
      <c r="A2" s="26" t="s">
        <v>104</v>
      </c>
      <c r="B2" s="26" t="s">
        <v>105</v>
      </c>
      <c r="C2" s="26" t="s">
        <v>106</v>
      </c>
      <c r="D2" s="39">
        <v>17.27</v>
      </c>
      <c r="E2" s="39">
        <v>237.7</v>
      </c>
    </row>
    <row r="3" spans="1:5" ht="14.25" customHeight="1" x14ac:dyDescent="0.2">
      <c r="A3" s="306">
        <v>22</v>
      </c>
      <c r="B3" s="306">
        <v>100</v>
      </c>
      <c r="C3" s="307">
        <f t="shared" ref="C3:C15" si="0">E$2*D3/(D$2-D3)</f>
        <v>21.999999999999996</v>
      </c>
      <c r="D3" s="39">
        <f t="shared" ref="D3:D15" si="1">D$2*A3/(E$2+A3)+LN(E3)</f>
        <v>1.4629957643434732</v>
      </c>
      <c r="E3" s="39">
        <f t="shared" ref="E3:E15" si="2">B3/100</f>
        <v>1</v>
      </c>
    </row>
    <row r="4" spans="1:5" ht="14.25" customHeight="1" x14ac:dyDescent="0.2">
      <c r="A4" s="306">
        <v>22</v>
      </c>
      <c r="B4" s="306">
        <v>95</v>
      </c>
      <c r="C4" s="307">
        <f t="shared" si="0"/>
        <v>21.16000639241318</v>
      </c>
      <c r="D4" s="39">
        <f t="shared" si="1"/>
        <v>1.4117024699559226</v>
      </c>
      <c r="E4" s="39">
        <f t="shared" si="2"/>
        <v>0.95</v>
      </c>
    </row>
    <row r="5" spans="1:5" ht="14.25" customHeight="1" x14ac:dyDescent="0.2">
      <c r="A5" s="306">
        <v>22</v>
      </c>
      <c r="B5" s="306">
        <v>90</v>
      </c>
      <c r="C5" s="307">
        <f t="shared" si="0"/>
        <v>20.280448799159316</v>
      </c>
      <c r="D5" s="39">
        <f t="shared" si="1"/>
        <v>1.3576352486856469</v>
      </c>
      <c r="E5" s="39">
        <f t="shared" si="2"/>
        <v>0.9</v>
      </c>
    </row>
    <row r="6" spans="1:5" ht="14.25" customHeight="1" x14ac:dyDescent="0.2">
      <c r="A6" s="306">
        <v>22</v>
      </c>
      <c r="B6" s="306">
        <v>85</v>
      </c>
      <c r="C6" s="307">
        <f t="shared" si="0"/>
        <v>19.357080386553648</v>
      </c>
      <c r="D6" s="39">
        <f t="shared" si="1"/>
        <v>1.3004768348456983</v>
      </c>
      <c r="E6" s="39">
        <f t="shared" si="2"/>
        <v>0.85</v>
      </c>
    </row>
    <row r="7" spans="1:5" ht="14.25" customHeight="1" x14ac:dyDescent="0.2">
      <c r="A7" s="306">
        <v>22</v>
      </c>
      <c r="B7" s="306">
        <v>80</v>
      </c>
      <c r="C7" s="307">
        <f t="shared" si="0"/>
        <v>18.384912912443504</v>
      </c>
      <c r="D7" s="39">
        <f t="shared" si="1"/>
        <v>1.2398522130292635</v>
      </c>
      <c r="E7" s="39">
        <f t="shared" si="2"/>
        <v>0.8</v>
      </c>
    </row>
    <row r="8" spans="1:5" ht="14.25" customHeight="1" x14ac:dyDescent="0.2">
      <c r="A8" s="306">
        <v>22</v>
      </c>
      <c r="B8" s="306">
        <v>75</v>
      </c>
      <c r="C8" s="307">
        <f t="shared" si="0"/>
        <v>17.35803104294807</v>
      </c>
      <c r="D8" s="39">
        <f t="shared" si="1"/>
        <v>1.1753136918916924</v>
      </c>
      <c r="E8" s="39">
        <f t="shared" si="2"/>
        <v>0.75</v>
      </c>
    </row>
    <row r="9" spans="1:5" ht="14.25" customHeight="1" x14ac:dyDescent="0.2">
      <c r="A9" s="306">
        <v>22</v>
      </c>
      <c r="B9" s="306">
        <v>70</v>
      </c>
      <c r="C9" s="307">
        <f t="shared" si="0"/>
        <v>16.269344131884196</v>
      </c>
      <c r="D9" s="39">
        <f t="shared" si="1"/>
        <v>1.1063208204047408</v>
      </c>
      <c r="E9" s="39">
        <f t="shared" si="2"/>
        <v>0.7</v>
      </c>
    </row>
    <row r="10" spans="1:5" ht="14.25" customHeight="1" x14ac:dyDescent="0.2">
      <c r="A10" s="306">
        <v>22</v>
      </c>
      <c r="B10" s="306">
        <v>65</v>
      </c>
      <c r="C10" s="307">
        <f t="shared" si="0"/>
        <v>15.110248196771053</v>
      </c>
      <c r="D10" s="39">
        <f t="shared" si="1"/>
        <v>1.0322128482510191</v>
      </c>
      <c r="E10" s="39">
        <f t="shared" si="2"/>
        <v>0.65</v>
      </c>
    </row>
    <row r="11" spans="1:5" ht="14.25" customHeight="1" x14ac:dyDescent="0.2">
      <c r="A11" s="306">
        <v>22</v>
      </c>
      <c r="B11" s="306">
        <v>60</v>
      </c>
      <c r="C11" s="307">
        <f t="shared" si="0"/>
        <v>13.870155796763367</v>
      </c>
      <c r="D11" s="39">
        <f t="shared" si="1"/>
        <v>0.9521701405774825</v>
      </c>
      <c r="E11" s="39">
        <f t="shared" si="2"/>
        <v>0.6</v>
      </c>
    </row>
    <row r="12" spans="1:5" ht="14.25" customHeight="1" x14ac:dyDescent="0.2">
      <c r="A12" s="306">
        <v>22</v>
      </c>
      <c r="B12" s="306">
        <v>55</v>
      </c>
      <c r="C12" s="307">
        <f t="shared" si="0"/>
        <v>12.535826171141252</v>
      </c>
      <c r="D12" s="39">
        <f t="shared" si="1"/>
        <v>0.86515876358785282</v>
      </c>
      <c r="E12" s="39">
        <f t="shared" si="2"/>
        <v>0.55000000000000004</v>
      </c>
    </row>
    <row r="13" spans="1:5" ht="14.25" customHeight="1" x14ac:dyDescent="0.2">
      <c r="A13" s="306">
        <v>22</v>
      </c>
      <c r="B13" s="306">
        <v>50</v>
      </c>
      <c r="C13" s="307">
        <f t="shared" si="0"/>
        <v>11.090383581904449</v>
      </c>
      <c r="D13" s="39">
        <f t="shared" si="1"/>
        <v>0.76984858378352794</v>
      </c>
      <c r="E13" s="39">
        <f t="shared" si="2"/>
        <v>0.5</v>
      </c>
    </row>
    <row r="14" spans="1:5" ht="14.25" customHeight="1" x14ac:dyDescent="0.2">
      <c r="A14" s="306">
        <v>22</v>
      </c>
      <c r="B14" s="306">
        <v>45</v>
      </c>
      <c r="C14" s="307">
        <f t="shared" si="0"/>
        <v>9.5118304356697596</v>
      </c>
      <c r="D14" s="39">
        <f t="shared" si="1"/>
        <v>0.6644880681257016</v>
      </c>
      <c r="E14" s="39">
        <f t="shared" si="2"/>
        <v>0.45</v>
      </c>
    </row>
    <row r="15" spans="1:5" ht="14.25" customHeight="1" x14ac:dyDescent="0.2">
      <c r="A15" s="306">
        <v>22</v>
      </c>
      <c r="B15" s="306">
        <v>40</v>
      </c>
      <c r="C15" s="307">
        <f t="shared" si="0"/>
        <v>7.7707046649757974</v>
      </c>
      <c r="D15" s="39">
        <f t="shared" si="1"/>
        <v>0.54670503246931823</v>
      </c>
      <c r="E15" s="39">
        <f t="shared" si="2"/>
        <v>0.4</v>
      </c>
    </row>
    <row r="16" spans="1:5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defaultColWidth="12.625" defaultRowHeight="15" customHeight="1" x14ac:dyDescent="0.15"/>
  <cols>
    <col min="1" max="6" width="7.96484375" customWidth="1"/>
    <col min="7" max="26" width="14.33984375" customWidth="1"/>
  </cols>
  <sheetData>
    <row r="1" ht="14.25" customHeight="1" x14ac:dyDescent="0.15"/>
    <row r="2" ht="14.25" customHeight="1" x14ac:dyDescent="0.15"/>
    <row r="3" ht="14.25" customHeight="1" x14ac:dyDescent="0.15"/>
    <row r="4" ht="14.25" customHeight="1" x14ac:dyDescent="0.15"/>
    <row r="5" ht="14.25" customHeight="1" x14ac:dyDescent="0.15"/>
    <row r="6" ht="14.25" customHeight="1" x14ac:dyDescent="0.15"/>
    <row r="7" ht="14.25" customHeight="1" x14ac:dyDescent="0.15"/>
    <row r="8" ht="14.25" customHeight="1" x14ac:dyDescent="0.15"/>
    <row r="9" ht="14.25" customHeight="1" x14ac:dyDescent="0.15"/>
    <row r="10" ht="14.25" customHeight="1" x14ac:dyDescent="0.15"/>
    <row r="11" ht="14.25" customHeight="1" x14ac:dyDescent="0.15"/>
    <row r="12" ht="14.25" customHeight="1" x14ac:dyDescent="0.15"/>
    <row r="13" ht="14.25" customHeight="1" x14ac:dyDescent="0.15"/>
    <row r="14" ht="14.25" customHeight="1" x14ac:dyDescent="0.15"/>
    <row r="15" ht="14.25" customHeight="1" x14ac:dyDescent="0.15"/>
    <row r="16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1000"/>
  <sheetViews>
    <sheetView workbookViewId="0"/>
  </sheetViews>
  <sheetFormatPr defaultColWidth="12.625" defaultRowHeight="15" customHeight="1" x14ac:dyDescent="0.15"/>
  <cols>
    <col min="1" max="6" width="7.96484375" customWidth="1"/>
    <col min="7" max="26" width="14.33984375" customWidth="1"/>
  </cols>
  <sheetData>
    <row r="1" ht="14.25" customHeight="1" x14ac:dyDescent="0.15"/>
    <row r="2" ht="14.25" customHeight="1" x14ac:dyDescent="0.15"/>
    <row r="3" ht="14.25" customHeight="1" x14ac:dyDescent="0.15"/>
    <row r="4" ht="14.25" customHeight="1" x14ac:dyDescent="0.15"/>
    <row r="5" ht="14.25" customHeight="1" x14ac:dyDescent="0.15"/>
    <row r="6" ht="14.25" customHeight="1" x14ac:dyDescent="0.15"/>
    <row r="7" ht="14.25" customHeight="1" x14ac:dyDescent="0.15"/>
    <row r="8" ht="14.25" customHeight="1" x14ac:dyDescent="0.15"/>
    <row r="9" ht="14.25" customHeight="1" x14ac:dyDescent="0.15"/>
    <row r="10" ht="14.25" customHeight="1" x14ac:dyDescent="0.15"/>
    <row r="11" ht="14.25" customHeight="1" x14ac:dyDescent="0.15"/>
    <row r="12" ht="14.25" customHeight="1" x14ac:dyDescent="0.15"/>
    <row r="13" ht="14.25" customHeight="1" x14ac:dyDescent="0.15"/>
    <row r="14" ht="14.25" customHeight="1" x14ac:dyDescent="0.15"/>
    <row r="15" ht="14.25" customHeight="1" x14ac:dyDescent="0.15"/>
    <row r="16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20</vt:i4>
      </vt:variant>
    </vt:vector>
  </HeadingPairs>
  <TitlesOfParts>
    <vt:vector size="29" baseType="lpstr">
      <vt:lpstr>реал. мощ.</vt:lpstr>
      <vt:lpstr>генер. спирт. пара</vt:lpstr>
      <vt:lpstr>0пред. скорости отбора</vt:lpstr>
      <vt:lpstr>нагрев и испар. воды</vt:lpstr>
      <vt:lpstr>Смеш. воды</vt:lpstr>
      <vt:lpstr>Подключения</vt:lpstr>
      <vt:lpstr>точка росы</vt:lpstr>
      <vt:lpstr>Лист1</vt:lpstr>
      <vt:lpstr>Лист2</vt:lpstr>
      <vt:lpstr>вольт</vt:lpstr>
      <vt:lpstr>градус</vt:lpstr>
      <vt:lpstr>кВт</vt:lpstr>
      <vt:lpstr>литр</vt:lpstr>
      <vt:lpstr>Мощ.тэна</vt:lpstr>
      <vt:lpstr>Мощность1</vt:lpstr>
      <vt:lpstr>Мощность2</vt:lpstr>
      <vt:lpstr>мОЩНОСТЬ3</vt:lpstr>
      <vt:lpstr>Мощность4</vt:lpstr>
      <vt:lpstr>Подключения!напряжение</vt:lpstr>
      <vt:lpstr>Ом</vt:lpstr>
      <vt:lpstr>Ом1</vt:lpstr>
      <vt:lpstr>Ом2</vt:lpstr>
      <vt:lpstr>Ом3</vt:lpstr>
      <vt:lpstr>Ом4</vt:lpstr>
      <vt:lpstr>Реал_Мощность</vt:lpstr>
      <vt:lpstr>сек</vt:lpstr>
      <vt:lpstr>шаг</vt:lpstr>
      <vt:lpstr>шаг.литр</vt:lpstr>
      <vt:lpstr>шаг.темп.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dcterms:created xsi:type="dcterms:W3CDTF">2012-02-21T21:36:12Z</dcterms:created>
</cp:coreProperties>
</file>