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nik\Desktop\"/>
    </mc:Choice>
  </mc:AlternateContent>
  <bookViews>
    <workbookView xWindow="0" yWindow="0" windowWidth="23040" windowHeight="8820" activeTab="1"/>
  </bookViews>
  <sheets>
    <sheet name="реал. мощ." sheetId="1" r:id="rId1"/>
    <sheet name="генер. спирт. пара" sheetId="2" r:id="rId2"/>
    <sheet name="График отбора" sheetId="3" r:id="rId3"/>
    <sheet name="расчёт ФЧ по Т куба" sheetId="4" r:id="rId4"/>
  </sheets>
  <externalReferences>
    <externalReference r:id="rId5"/>
  </externalReferences>
  <definedNames>
    <definedName name="aaa">#REF!</definedName>
    <definedName name="dfg">#REF!</definedName>
    <definedName name="hgfd">#REF!</definedName>
    <definedName name="krec">#REF!</definedName>
    <definedName name="prim">#REF!</definedName>
    <definedName name="rrec">#REF!</definedName>
    <definedName name="wew">[1]Лист1!$D$1:$D$21</definedName>
    <definedName name="yujkd">#REF!</definedName>
    <definedName name="вольт" localSheetId="3">#REF!</definedName>
    <definedName name="вольт">'реал. мощ.'!$E$2</definedName>
    <definedName name="градус" localSheetId="3">#REF!</definedName>
    <definedName name="градус">#REF!</definedName>
    <definedName name="длит">#REF!</definedName>
    <definedName name="кво">#REF!</definedName>
    <definedName name="кВт" localSheetId="3">#REF!</definedName>
    <definedName name="кВт">'реал. мощ.'!$A$12</definedName>
    <definedName name="кна">#REF!</definedName>
    <definedName name="кнт">#REF!</definedName>
    <definedName name="литр" localSheetId="3">#REF!</definedName>
    <definedName name="литр">#REF!</definedName>
    <definedName name="макол">#REF!</definedName>
    <definedName name="макс">#REF!</definedName>
    <definedName name="максконц">#REF!</definedName>
    <definedName name="Мощ.тэна" localSheetId="3">#REF!</definedName>
    <definedName name="Мощ.тэна">'реал. мощ.'!$A$2</definedName>
    <definedName name="Мощность1">#REF!</definedName>
    <definedName name="Мощность2">#REF!</definedName>
    <definedName name="мОЩНОСТЬ3">#REF!</definedName>
    <definedName name="Мощность4">#REF!</definedName>
    <definedName name="напряжение">#REF!</definedName>
    <definedName name="напряжение1">#REF!</definedName>
    <definedName name="напряжение2">#REF!</definedName>
    <definedName name="напряжение3">#REF!</definedName>
    <definedName name="нач">#REF!</definedName>
    <definedName name="Ом" localSheetId="3">#REF!</definedName>
    <definedName name="Ом">'реал. мощ.'!$G$2</definedName>
    <definedName name="Ом1">#REF!</definedName>
    <definedName name="Ом2">#REF!</definedName>
    <definedName name="Ом3">#REF!</definedName>
    <definedName name="Ом4">#REF!</definedName>
    <definedName name="орт">#REF!</definedName>
    <definedName name="отб">#REF!</definedName>
    <definedName name="павы">#REF!</definedName>
    <definedName name="павыы">#REF!</definedName>
    <definedName name="пер">#REF!</definedName>
    <definedName name="период">#REF!</definedName>
    <definedName name="Реал_Мощность" localSheetId="3">#REF!</definedName>
    <definedName name="Реал_Мощность">'реал. мощ.'!$L$4</definedName>
    <definedName name="сек" localSheetId="3">#REF!</definedName>
    <definedName name="сек">#REF!</definedName>
    <definedName name="удспос">#REF!</definedName>
    <definedName name="УЦ">[1]Лист1!$A$1:$A$97</definedName>
    <definedName name="шаг" localSheetId="3">#REF!</definedName>
    <definedName name="шаг">'реал. мощ.'!$C$2</definedName>
    <definedName name="шаг.литр" localSheetId="3">#REF!</definedName>
    <definedName name="шаг.литр">#REF!</definedName>
    <definedName name="шаг.темп." localSheetId="3">#REF!</definedName>
    <definedName name="шаг.темп.">#REF!</definedName>
    <definedName name="Ы">#REF!</definedName>
  </definedNames>
  <calcPr calcId="162913"/>
  <fileRecoveryPr repairLoad="1"/>
</workbook>
</file>

<file path=xl/calcChain.xml><?xml version="1.0" encoding="utf-8"?>
<calcChain xmlns="http://schemas.openxmlformats.org/spreadsheetml/2006/main">
  <c r="D14" i="4" l="1"/>
  <c r="M14" i="4" s="1"/>
  <c r="C14" i="4"/>
  <c r="D13" i="4"/>
  <c r="M13" i="4" s="1"/>
  <c r="C13" i="4"/>
  <c r="D12" i="4"/>
  <c r="M12" i="4" s="1"/>
  <c r="C12" i="4"/>
  <c r="M11" i="4"/>
  <c r="D11" i="4"/>
  <c r="C11" i="4"/>
  <c r="D10" i="4"/>
  <c r="M10" i="4" s="1"/>
  <c r="C10" i="4"/>
  <c r="D9" i="4"/>
  <c r="M9" i="4" s="1"/>
  <c r="C9" i="4"/>
  <c r="D8" i="4"/>
  <c r="M8" i="4" s="1"/>
  <c r="C8" i="4"/>
  <c r="M7" i="4"/>
  <c r="D7" i="4"/>
  <c r="C7" i="4"/>
  <c r="D6" i="4"/>
  <c r="M6" i="4" s="1"/>
  <c r="C6" i="4"/>
  <c r="D5" i="4"/>
  <c r="M5" i="4" s="1"/>
  <c r="C5" i="4"/>
  <c r="L4" i="4"/>
  <c r="L5" i="4" s="1"/>
  <c r="L6" i="4" s="1"/>
  <c r="L7" i="4" s="1"/>
  <c r="L8" i="4" s="1"/>
  <c r="L9" i="4" s="1"/>
  <c r="L10" i="4" s="1"/>
  <c r="L11" i="4" s="1"/>
  <c r="L12" i="4" s="1"/>
  <c r="L13" i="4" s="1"/>
  <c r="L14" i="4" s="1"/>
  <c r="J4" i="4"/>
  <c r="K12" i="4" s="1"/>
  <c r="I4" i="4"/>
  <c r="D4" i="4"/>
  <c r="M4" i="4" s="1"/>
  <c r="N4" i="4" s="1"/>
  <c r="P13" i="2" s="1"/>
  <c r="L13" i="2" s="1"/>
  <c r="C4" i="4"/>
  <c r="D23" i="2"/>
  <c r="C23" i="2"/>
  <c r="E23" i="2" s="1"/>
  <c r="A23" i="2"/>
  <c r="E22" i="2"/>
  <c r="D22" i="2"/>
  <c r="C22" i="2"/>
  <c r="A22" i="2"/>
  <c r="E21" i="2"/>
  <c r="D21" i="2"/>
  <c r="C21" i="2"/>
  <c r="A21" i="2"/>
  <c r="F21" i="2" s="1"/>
  <c r="D20" i="2"/>
  <c r="C20" i="2"/>
  <c r="A20" i="2"/>
  <c r="D19" i="2"/>
  <c r="C19" i="2"/>
  <c r="E19" i="2" s="1"/>
  <c r="A19" i="2"/>
  <c r="F19" i="2" s="1"/>
  <c r="E18" i="2"/>
  <c r="D18" i="2"/>
  <c r="C18" i="2"/>
  <c r="A18" i="2"/>
  <c r="F18" i="2" s="1"/>
  <c r="G18" i="2" s="1"/>
  <c r="E17" i="2"/>
  <c r="D17" i="2"/>
  <c r="C17" i="2"/>
  <c r="A17" i="2"/>
  <c r="D16" i="2"/>
  <c r="C16" i="2"/>
  <c r="E16" i="2" s="1"/>
  <c r="A16" i="2"/>
  <c r="F16" i="2" s="1"/>
  <c r="I16" i="2" s="1"/>
  <c r="D15" i="2"/>
  <c r="C15" i="2"/>
  <c r="A15" i="2"/>
  <c r="E14" i="2"/>
  <c r="D14" i="2"/>
  <c r="C14" i="2"/>
  <c r="A14" i="2"/>
  <c r="F14" i="2" s="1"/>
  <c r="E13" i="2"/>
  <c r="D13" i="2"/>
  <c r="C13" i="2"/>
  <c r="A13" i="2"/>
  <c r="D12" i="2"/>
  <c r="C12" i="2"/>
  <c r="E12" i="2" s="1"/>
  <c r="A12" i="2"/>
  <c r="F12" i="2" s="1"/>
  <c r="I12" i="2" s="1"/>
  <c r="J12" i="2" s="1"/>
  <c r="D11" i="2"/>
  <c r="C11" i="2"/>
  <c r="A11" i="2"/>
  <c r="E10" i="2"/>
  <c r="D10" i="2"/>
  <c r="C10" i="2"/>
  <c r="A10" i="2"/>
  <c r="F10" i="2" s="1"/>
  <c r="E9" i="2"/>
  <c r="D9" i="2"/>
  <c r="C9" i="2"/>
  <c r="A9" i="2"/>
  <c r="D8" i="2"/>
  <c r="C8" i="2"/>
  <c r="E8" i="2" s="1"/>
  <c r="A8" i="2"/>
  <c r="F8" i="2" s="1"/>
  <c r="I8" i="2" s="1"/>
  <c r="J8" i="2" s="1"/>
  <c r="D7" i="2"/>
  <c r="C7" i="2"/>
  <c r="A7" i="2"/>
  <c r="E6" i="2"/>
  <c r="D6" i="2"/>
  <c r="C6" i="2"/>
  <c r="A6" i="2"/>
  <c r="F6" i="2" s="1"/>
  <c r="E5" i="2"/>
  <c r="D5" i="2"/>
  <c r="C5" i="2"/>
  <c r="A5" i="2"/>
  <c r="E4" i="2"/>
  <c r="D4" i="2"/>
  <c r="A4" i="2"/>
  <c r="F4" i="2" s="1"/>
  <c r="I4" i="2" s="1"/>
  <c r="J4" i="2" s="1"/>
  <c r="A18" i="1"/>
  <c r="H17" i="1"/>
  <c r="A17" i="1"/>
  <c r="A16" i="1"/>
  <c r="H15" i="1"/>
  <c r="A15" i="1"/>
  <c r="A14" i="1"/>
  <c r="N13" i="1"/>
  <c r="A13" i="1"/>
  <c r="H12" i="1"/>
  <c r="G12" i="1"/>
  <c r="D12" i="1"/>
  <c r="B12" i="1"/>
  <c r="A12" i="1"/>
  <c r="G11" i="1"/>
  <c r="A11" i="1"/>
  <c r="H10" i="1"/>
  <c r="A10" i="1"/>
  <c r="A9" i="1"/>
  <c r="H8" i="1"/>
  <c r="A8" i="1"/>
  <c r="A7" i="1"/>
  <c r="H6" i="1"/>
  <c r="A6" i="1"/>
  <c r="G2" i="1"/>
  <c r="H13" i="1" s="1"/>
  <c r="K14" i="4" l="1"/>
  <c r="N13" i="4"/>
  <c r="P22" i="2" s="1"/>
  <c r="L22" i="2" s="1"/>
  <c r="N11" i="4"/>
  <c r="P20" i="2" s="1"/>
  <c r="L20" i="2" s="1"/>
  <c r="N5" i="4"/>
  <c r="P14" i="2" s="1"/>
  <c r="L14" i="2" s="1"/>
  <c r="N7" i="4"/>
  <c r="P16" i="2" s="1"/>
  <c r="L16" i="2" s="1"/>
  <c r="N8" i="4"/>
  <c r="P17" i="2" s="1"/>
  <c r="L17" i="2" s="1"/>
  <c r="N6" i="4"/>
  <c r="P15" i="2" s="1"/>
  <c r="L15" i="2" s="1"/>
  <c r="G10" i="2"/>
  <c r="I10" i="2"/>
  <c r="I19" i="2"/>
  <c r="G19" i="2"/>
  <c r="G14" i="2"/>
  <c r="I14" i="2"/>
  <c r="H6" i="2"/>
  <c r="G6" i="2"/>
  <c r="I6" i="2"/>
  <c r="G13" i="1"/>
  <c r="I12" i="1"/>
  <c r="I18" i="2"/>
  <c r="K4" i="2"/>
  <c r="K8" i="2"/>
  <c r="K12" i="2"/>
  <c r="H14" i="2"/>
  <c r="G16" i="2"/>
  <c r="H18" i="2"/>
  <c r="E20" i="2"/>
  <c r="F20" i="2" s="1"/>
  <c r="F22" i="2"/>
  <c r="N10" i="4"/>
  <c r="P19" i="2" s="1"/>
  <c r="L19" i="2" s="1"/>
  <c r="G10" i="1"/>
  <c r="H4" i="2"/>
  <c r="H8" i="2"/>
  <c r="H12" i="2"/>
  <c r="B11" i="1"/>
  <c r="C12" i="1"/>
  <c r="O4" i="2"/>
  <c r="O8" i="2"/>
  <c r="E11" i="2"/>
  <c r="F11" i="2" s="1"/>
  <c r="H11" i="2"/>
  <c r="E15" i="2"/>
  <c r="F15" i="2" s="1"/>
  <c r="J16" i="2"/>
  <c r="M16" i="2"/>
  <c r="H16" i="2"/>
  <c r="G21" i="2"/>
  <c r="I21" i="2"/>
  <c r="H21" i="2"/>
  <c r="H22" i="2"/>
  <c r="N9" i="4"/>
  <c r="P18" i="2" s="1"/>
  <c r="L18" i="2" s="1"/>
  <c r="N12" i="4"/>
  <c r="P21" i="2" s="1"/>
  <c r="L21" i="2" s="1"/>
  <c r="E7" i="2"/>
  <c r="F7" i="2" s="1"/>
  <c r="H7" i="2"/>
  <c r="O12" i="2"/>
  <c r="B13" i="1"/>
  <c r="G4" i="2"/>
  <c r="F5" i="2"/>
  <c r="G8" i="2"/>
  <c r="F9" i="2"/>
  <c r="H10" i="2"/>
  <c r="G12" i="2"/>
  <c r="F13" i="2"/>
  <c r="K16" i="2"/>
  <c r="F17" i="2"/>
  <c r="F23" i="2"/>
  <c r="N14" i="4"/>
  <c r="P23" i="2" s="1"/>
  <c r="L23" i="2" s="1"/>
  <c r="H7" i="1"/>
  <c r="H9" i="1"/>
  <c r="H11" i="1"/>
  <c r="I11" i="1" s="1"/>
  <c r="H14" i="1"/>
  <c r="H16" i="1"/>
  <c r="H18" i="1"/>
  <c r="H19" i="2"/>
  <c r="K5" i="4"/>
  <c r="K9" i="4"/>
  <c r="K13" i="4"/>
  <c r="K4" i="4"/>
  <c r="K8" i="4"/>
  <c r="K7" i="4"/>
  <c r="K11" i="4"/>
  <c r="K6" i="4"/>
  <c r="K10" i="4"/>
  <c r="I20" i="2" l="1"/>
  <c r="G20" i="2"/>
  <c r="H20" i="2"/>
  <c r="G14" i="1"/>
  <c r="I13" i="1"/>
  <c r="K14" i="2"/>
  <c r="M14" i="2"/>
  <c r="J14" i="2"/>
  <c r="O10" i="2"/>
  <c r="K10" i="2"/>
  <c r="J10" i="2"/>
  <c r="G23" i="2"/>
  <c r="I23" i="2"/>
  <c r="O7" i="4"/>
  <c r="N16" i="2"/>
  <c r="O16" i="2" s="1"/>
  <c r="G9" i="2"/>
  <c r="H9" i="2"/>
  <c r="I9" i="2"/>
  <c r="B14" i="1"/>
  <c r="C13" i="1"/>
  <c r="K21" i="2"/>
  <c r="J21" i="2"/>
  <c r="M21" i="2"/>
  <c r="I11" i="2"/>
  <c r="G11" i="2"/>
  <c r="C11" i="1"/>
  <c r="B10" i="1"/>
  <c r="G22" i="2"/>
  <c r="I22" i="2"/>
  <c r="O6" i="2"/>
  <c r="K6" i="2"/>
  <c r="J6" i="2"/>
  <c r="G5" i="2"/>
  <c r="H5" i="2"/>
  <c r="I5" i="2"/>
  <c r="I15" i="2"/>
  <c r="G15" i="2"/>
  <c r="M19" i="2"/>
  <c r="K19" i="2"/>
  <c r="J19" i="2"/>
  <c r="G17" i="2"/>
  <c r="H17" i="2"/>
  <c r="I17" i="2"/>
  <c r="I7" i="2"/>
  <c r="G7" i="2"/>
  <c r="H23" i="2"/>
  <c r="G13" i="2"/>
  <c r="H13" i="2"/>
  <c r="I13" i="2"/>
  <c r="H15" i="2"/>
  <c r="I10" i="1"/>
  <c r="G9" i="1"/>
  <c r="K18" i="2"/>
  <c r="J18" i="2"/>
  <c r="M18" i="2"/>
  <c r="K13" i="2" l="1"/>
  <c r="J13" i="2"/>
  <c r="M13" i="2"/>
  <c r="O10" i="4"/>
  <c r="N19" i="2"/>
  <c r="O19" i="2" s="1"/>
  <c r="B15" i="1"/>
  <c r="C14" i="1"/>
  <c r="O5" i="4"/>
  <c r="N14" i="2"/>
  <c r="O14" i="2" s="1"/>
  <c r="I9" i="1"/>
  <c r="G8" i="1"/>
  <c r="O7" i="2"/>
  <c r="K7" i="2"/>
  <c r="J7" i="2"/>
  <c r="J22" i="2"/>
  <c r="K22" i="2"/>
  <c r="M22" i="2"/>
  <c r="K9" i="2"/>
  <c r="J9" i="2"/>
  <c r="O9" i="2"/>
  <c r="K17" i="2"/>
  <c r="J17" i="2"/>
  <c r="M17" i="2"/>
  <c r="M15" i="2"/>
  <c r="K15" i="2"/>
  <c r="J15" i="2"/>
  <c r="O11" i="2"/>
  <c r="K11" i="2"/>
  <c r="J11" i="2"/>
  <c r="K23" i="2"/>
  <c r="J23" i="2"/>
  <c r="M23" i="2"/>
  <c r="G15" i="1"/>
  <c r="I14" i="1"/>
  <c r="O9" i="4"/>
  <c r="N18" i="2"/>
  <c r="O18" i="2" s="1"/>
  <c r="K5" i="2"/>
  <c r="J5" i="2"/>
  <c r="O5" i="2"/>
  <c r="B9" i="1"/>
  <c r="C10" i="1"/>
  <c r="O12" i="4"/>
  <c r="N21" i="2"/>
  <c r="O21" i="2" s="1"/>
  <c r="J20" i="2"/>
  <c r="M20" i="2"/>
  <c r="K20" i="2"/>
  <c r="G7" i="1" l="1"/>
  <c r="I8" i="1"/>
  <c r="O4" i="4"/>
  <c r="N13" i="2"/>
  <c r="O13" i="2" s="1"/>
  <c r="O6" i="4"/>
  <c r="N15" i="2"/>
  <c r="O15" i="2" s="1"/>
  <c r="N22" i="2"/>
  <c r="O22" i="2" s="1"/>
  <c r="O13" i="4"/>
  <c r="B16" i="1"/>
  <c r="C15" i="1"/>
  <c r="O11" i="4"/>
  <c r="N20" i="2"/>
  <c r="O20" i="2" s="1"/>
  <c r="I15" i="1"/>
  <c r="G16" i="1"/>
  <c r="O8" i="4"/>
  <c r="N17" i="2"/>
  <c r="O17" i="2" s="1"/>
  <c r="C9" i="1"/>
  <c r="B8" i="1"/>
  <c r="O14" i="4"/>
  <c r="N23" i="2"/>
  <c r="O23" i="2" s="1"/>
  <c r="G17" i="1" l="1"/>
  <c r="I16" i="1"/>
  <c r="B7" i="1"/>
  <c r="C8" i="1"/>
  <c r="C16" i="1"/>
  <c r="B17" i="1"/>
  <c r="I7" i="1"/>
  <c r="G6" i="1"/>
  <c r="I6" i="1" s="1"/>
  <c r="C7" i="1" l="1"/>
  <c r="B6" i="1"/>
  <c r="C6" i="1" s="1"/>
  <c r="B18" i="1"/>
  <c r="C18" i="1" s="1"/>
  <c r="C17" i="1"/>
  <c r="G18" i="1"/>
  <c r="I18" i="1" s="1"/>
  <c r="I17" i="1"/>
</calcChain>
</file>

<file path=xl/sharedStrings.xml><?xml version="1.0" encoding="utf-8"?>
<sst xmlns="http://schemas.openxmlformats.org/spreadsheetml/2006/main" count="97" uniqueCount="69">
  <si>
    <r>
      <t xml:space="preserve">номинальная мощность ТЭНа в </t>
    </r>
    <r>
      <rPr>
        <b/>
        <sz val="10"/>
        <color rgb="FF003366"/>
        <rFont val="Calibri"/>
      </rPr>
      <t>кВт</t>
    </r>
  </si>
  <si>
    <r>
      <rPr>
        <sz val="10"/>
        <color rgb="FF000000"/>
        <rFont val="Calibri"/>
      </rPr>
      <t xml:space="preserve"> номинальное напряжение ТЭНа </t>
    </r>
    <r>
      <rPr>
        <b/>
        <sz val="10"/>
        <color rgb="FF000000"/>
        <rFont val="Calibri"/>
      </rPr>
      <t>V</t>
    </r>
  </si>
  <si>
    <r>
      <t xml:space="preserve">шаг в </t>
    </r>
    <r>
      <rPr>
        <b/>
        <sz val="14"/>
        <color rgb="FF000000"/>
        <rFont val="Calibri"/>
      </rPr>
      <t>вольт</t>
    </r>
    <r>
      <rPr>
        <sz val="11"/>
        <color rgb="FF000000"/>
        <rFont val="Calibri"/>
      </rPr>
      <t>ах</t>
    </r>
  </si>
  <si>
    <r>
      <t xml:space="preserve">Напряжение сети </t>
    </r>
    <r>
      <rPr>
        <b/>
        <sz val="16"/>
        <color rgb="FF000000"/>
        <rFont val="Calibri"/>
      </rPr>
      <t>Вольт</t>
    </r>
  </si>
  <si>
    <r>
      <t xml:space="preserve">Реальное Сопротивление ТЭНа в   </t>
    </r>
    <r>
      <rPr>
        <b/>
        <sz val="16"/>
        <color rgb="FF000080"/>
        <rFont val="Calibri"/>
      </rPr>
      <t>Ом</t>
    </r>
    <r>
      <rPr>
        <sz val="10"/>
        <color rgb="FF000080"/>
        <rFont val="Calibri"/>
      </rPr>
      <t>ах</t>
    </r>
  </si>
  <si>
    <t>реальная мощность с учётом теплопотерь</t>
  </si>
  <si>
    <t>Ввести тепловые потери          (в кВт)</t>
  </si>
  <si>
    <t>Таблица №1</t>
  </si>
  <si>
    <t>Таблица №2</t>
  </si>
  <si>
    <r>
      <t xml:space="preserve">напряжение в сети </t>
    </r>
    <r>
      <rPr>
        <b/>
        <sz val="14"/>
        <color rgb="FF003366"/>
        <rFont val="Calibri"/>
      </rPr>
      <t>v</t>
    </r>
  </si>
  <si>
    <r>
      <t xml:space="preserve">реальная мощность в </t>
    </r>
    <r>
      <rPr>
        <b/>
        <sz val="14"/>
        <color rgb="FF000000"/>
        <rFont val="Calibri"/>
      </rPr>
      <t>кВт</t>
    </r>
  </si>
  <si>
    <t>напряжение сети</t>
  </si>
  <si>
    <r>
      <t>сопротивление в ОМ</t>
    </r>
    <r>
      <rPr>
        <b/>
        <sz val="10"/>
        <color rgb="FF000000"/>
        <rFont val="Calibri"/>
      </rPr>
      <t>ах</t>
    </r>
  </si>
  <si>
    <r>
      <rPr>
        <sz val="11"/>
        <color rgb="FFFFFF00"/>
        <rFont val="Calibri"/>
      </rPr>
      <t>Мощность в</t>
    </r>
    <r>
      <rPr>
        <b/>
        <sz val="11"/>
        <color rgb="FFFFFF00"/>
        <rFont val="Calibri"/>
      </rPr>
      <t xml:space="preserve"> </t>
    </r>
    <r>
      <rPr>
        <b/>
        <sz val="14"/>
        <color rgb="FFFFFF00"/>
        <rFont val="Calibri"/>
      </rPr>
      <t>кВт</t>
    </r>
  </si>
  <si>
    <t>Здесь показан результат из таблицы №2 (предпочтительнее) с учётом теплопотерь, однако можно ввести любое значение.</t>
  </si>
  <si>
    <t xml:space="preserve">Определяете самостоятельно по следующему листу </t>
  </si>
  <si>
    <t>+</t>
  </si>
  <si>
    <t>Подача СС при эпюрации на реальную мощность</t>
  </si>
  <si>
    <t>Подача СС</t>
  </si>
  <si>
    <t>Введите Крепость CC Об.%</t>
  </si>
  <si>
    <t>ом</t>
  </si>
  <si>
    <t>л/ч</t>
  </si>
  <si>
    <t>-</t>
  </si>
  <si>
    <t>Введите расход пара кг/кг спирта</t>
  </si>
  <si>
    <t>!!! При условии температуры подаваемого</t>
  </si>
  <si>
    <t>СС не менее 75С</t>
  </si>
  <si>
    <t>Там, где красные числа можно подставлять свои значения.</t>
  </si>
  <si>
    <t>кВт</t>
  </si>
  <si>
    <r>
      <t xml:space="preserve"> Спирта в баке Объёмн </t>
    </r>
    <r>
      <rPr>
        <b/>
        <sz val="12"/>
        <color rgb="FFFF0000"/>
        <rFont val="Calibri"/>
      </rPr>
      <t>%</t>
    </r>
  </si>
  <si>
    <r>
      <t xml:space="preserve"> Спирта в паре Объёмн</t>
    </r>
    <r>
      <rPr>
        <b/>
        <sz val="14"/>
        <color rgb="FF808000"/>
        <rFont val="Calibri"/>
      </rPr>
      <t xml:space="preserve"> %</t>
    </r>
  </si>
  <si>
    <r>
      <rPr>
        <b/>
        <sz val="14"/>
        <rFont val="Calibri"/>
      </rPr>
      <t xml:space="preserve"> t℃   </t>
    </r>
    <r>
      <rPr>
        <b/>
        <sz val="11"/>
        <rFont val="Calibri"/>
      </rPr>
      <t xml:space="preserve"> кипения</t>
    </r>
  </si>
  <si>
    <t>Масс.Доля</t>
  </si>
  <si>
    <t>масса пара</t>
  </si>
  <si>
    <t>объём пара</t>
  </si>
  <si>
    <t>Объём жидкости</t>
  </si>
  <si>
    <t>Рекомендуемый</t>
  </si>
  <si>
    <t>узнать ФЧ</t>
  </si>
  <si>
    <t>Рекомендуемое ФЧ              ( см. лист "отбор голов")</t>
  </si>
  <si>
    <t xml:space="preserve"> кг/ч</t>
  </si>
  <si>
    <t>г /с</t>
  </si>
  <si>
    <t>литр /ч</t>
  </si>
  <si>
    <t>л/мин</t>
  </si>
  <si>
    <t>мл/с</t>
  </si>
  <si>
    <t>ФЧ</t>
  </si>
  <si>
    <t>отбор Л/ч</t>
  </si>
  <si>
    <t>,</t>
  </si>
  <si>
    <r>
      <t xml:space="preserve">Введите необходимую крепость получаемого продукта в </t>
    </r>
    <r>
      <rPr>
        <b/>
        <sz val="11"/>
        <color rgb="FFFF9900"/>
        <rFont val="Calibri"/>
      </rPr>
      <t>% об</t>
    </r>
    <r>
      <rPr>
        <b/>
        <sz val="11"/>
        <color rgb="FF000000"/>
        <rFont val="Calibri"/>
      </rPr>
      <t xml:space="preserve">. и соответствующую ей в </t>
    </r>
    <r>
      <rPr>
        <b/>
        <sz val="11"/>
        <color rgb="FFFF9900"/>
        <rFont val="Calibri"/>
      </rPr>
      <t>% масс</t>
    </r>
  </si>
  <si>
    <t xml:space="preserve">Концентрация получаемого спирта  </t>
  </si>
  <si>
    <t xml:space="preserve">Концентрация сырца  в кубе  </t>
  </si>
  <si>
    <t>Концентрация спирта в паре, равновесном с концентрацией cпирта в питании (кубе)</t>
  </si>
  <si>
    <t xml:space="preserve">Т куба при давлении 760.0 мм.рт.ст. </t>
  </si>
  <si>
    <t>Введите  атм. давление в мм.рт ст.</t>
  </si>
  <si>
    <t>Ведите давление в кубе в мм.рт.ст</t>
  </si>
  <si>
    <t>Температура в кубе с поправкой на Р куб. и Р атм.</t>
  </si>
  <si>
    <t>Коэф. Избытка флегмы. (Рекомендуемый - 2.0 - 3.0) подбирается самостоятельно</t>
  </si>
  <si>
    <r>
      <t>ФЧ</t>
    </r>
    <r>
      <rPr>
        <sz val="11"/>
        <color rgb="FF000000"/>
        <rFont val="Calibri"/>
      </rPr>
      <t xml:space="preserve"> min</t>
    </r>
  </si>
  <si>
    <r>
      <t>ФЧ</t>
    </r>
    <r>
      <rPr>
        <sz val="11"/>
        <color rgb="FF000000"/>
        <rFont val="Calibri"/>
      </rPr>
      <t xml:space="preserve"> опт.</t>
    </r>
  </si>
  <si>
    <r>
      <t xml:space="preserve">Рекомендуемый отбор </t>
    </r>
    <r>
      <rPr>
        <b/>
        <sz val="11"/>
        <color rgb="FF000000"/>
        <rFont val="Calibri"/>
      </rPr>
      <t>л/ч</t>
    </r>
  </si>
  <si>
    <t>% об.</t>
  </si>
  <si>
    <t>% мас</t>
  </si>
  <si>
    <t>% об</t>
  </si>
  <si>
    <t>% масc(Xd)</t>
  </si>
  <si>
    <t>% масс(Xм)</t>
  </si>
  <si>
    <t>%масс(Yм)</t>
  </si>
  <si>
    <t>ºС</t>
  </si>
  <si>
    <r>
      <t>(Поправка)</t>
    </r>
    <r>
      <rPr>
        <b/>
        <i/>
        <sz val="11"/>
        <rFont val="Calibri"/>
      </rPr>
      <t>ºС</t>
    </r>
  </si>
  <si>
    <t>(По калькулятору Руди)</t>
  </si>
  <si>
    <t>Там, где красные цифры - введите нужные Вам значения..</t>
  </si>
  <si>
    <t>Расчёты сделаны Сергей 1972, GrOV с использванием калькулятора Rudy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</si>
</sst>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0.0"/>
    <numFmt numFmtId="166" formatCode="#,##0.0"/>
    <numFmt numFmtId="167" formatCode="#,##0.00\ _₽"/>
  </numFmts>
  <fonts count="46" x14ac:knownFonts="1">
    <font>
      <sz val="11"/>
      <name val="Calibri"/>
    </font>
    <font>
      <sz val="11"/>
      <color rgb="FF000000"/>
      <name val="Calibri"/>
    </font>
    <font>
      <sz val="10"/>
      <color rgb="FF003366"/>
      <name val="Calibri"/>
    </font>
    <font>
      <b/>
      <sz val="10"/>
      <color rgb="FF000000"/>
      <name val="Calibri"/>
    </font>
    <font>
      <sz val="11"/>
      <color rgb="FF000080"/>
      <name val="Calibri"/>
    </font>
    <font>
      <b/>
      <sz val="20"/>
      <color rgb="FFFF0000"/>
      <name val="Calibri"/>
    </font>
    <font>
      <sz val="11"/>
      <color rgb="FFFFFFFF"/>
      <name val="Calibri"/>
    </font>
    <font>
      <b/>
      <sz val="11"/>
      <color rgb="FFFF0000"/>
      <name val="Arial Cyr"/>
    </font>
    <font>
      <b/>
      <sz val="24"/>
      <color rgb="FFFF0000"/>
      <name val="Calibri"/>
    </font>
    <font>
      <b/>
      <sz val="11"/>
      <color rgb="FF003366"/>
      <name val="Arial Cyr"/>
    </font>
    <font>
      <b/>
      <sz val="12"/>
      <color rgb="FF003366"/>
      <name val="Calibri"/>
    </font>
    <font>
      <b/>
      <sz val="18"/>
      <color rgb="FFFF0000"/>
      <name val="Calibri"/>
    </font>
    <font>
      <sz val="11"/>
      <color rgb="FF003366"/>
      <name val="Calibri"/>
    </font>
    <font>
      <b/>
      <sz val="11"/>
      <color rgb="FF000000"/>
      <name val="Calibri"/>
    </font>
    <font>
      <b/>
      <sz val="11"/>
      <color rgb="FF333300"/>
      <name val="Calibri"/>
    </font>
    <font>
      <b/>
      <sz val="12"/>
      <color rgb="FFFF0000"/>
      <name val="Calibri"/>
    </font>
    <font>
      <b/>
      <sz val="11"/>
      <color rgb="FF003366"/>
      <name val="Calibri"/>
    </font>
    <font>
      <sz val="12"/>
      <color rgb="FF000000"/>
      <name val="Calibri"/>
    </font>
    <font>
      <b/>
      <sz val="12"/>
      <color rgb="FF000000"/>
      <name val="Calibri"/>
    </font>
    <font>
      <b/>
      <sz val="14"/>
      <color rgb="FF000000"/>
      <name val="Calibri"/>
    </font>
    <font>
      <b/>
      <sz val="14"/>
      <color rgb="FFFFFFFF"/>
      <name val="Calibri"/>
    </font>
    <font>
      <b/>
      <sz val="9"/>
      <color rgb="FF000000"/>
      <name val="Calibri"/>
    </font>
    <font>
      <b/>
      <sz val="14"/>
      <color rgb="FFFF0000"/>
      <name val="Calibri"/>
    </font>
    <font>
      <b/>
      <sz val="11"/>
      <color rgb="FFFF0000"/>
      <name val="Calibri"/>
    </font>
    <font>
      <b/>
      <sz val="12"/>
      <color rgb="FFFF0000"/>
      <name val="Arial Cyr"/>
    </font>
    <font>
      <b/>
      <sz val="11"/>
      <color rgb="FF808000"/>
      <name val="Calibri"/>
    </font>
    <font>
      <b/>
      <sz val="11"/>
      <name val="Calibri"/>
    </font>
    <font>
      <b/>
      <sz val="12"/>
      <color rgb="FF808000"/>
      <name val="Calibri"/>
    </font>
    <font>
      <b/>
      <sz val="12"/>
      <name val="Calibri"/>
    </font>
    <font>
      <sz val="14"/>
      <color rgb="FF3366FF"/>
      <name val="Calibri"/>
    </font>
    <font>
      <i/>
      <sz val="11"/>
      <name val="Calibri"/>
    </font>
    <font>
      <b/>
      <sz val="11"/>
      <color rgb="FF3366FF"/>
      <name val="Calibri"/>
    </font>
    <font>
      <b/>
      <sz val="11"/>
      <color rgb="FF808080"/>
      <name val="Calibri"/>
    </font>
    <font>
      <b/>
      <sz val="10"/>
      <color rgb="FF003366"/>
      <name val="Calibri"/>
    </font>
    <font>
      <sz val="10"/>
      <color rgb="FF000000"/>
      <name val="Calibri"/>
    </font>
    <font>
      <b/>
      <sz val="16"/>
      <color rgb="FF000000"/>
      <name val="Calibri"/>
    </font>
    <font>
      <b/>
      <sz val="16"/>
      <color rgb="FF000080"/>
      <name val="Calibri"/>
    </font>
    <font>
      <sz val="10"/>
      <color rgb="FF000080"/>
      <name val="Calibri"/>
    </font>
    <font>
      <b/>
      <sz val="14"/>
      <color rgb="FF003366"/>
      <name val="Calibri"/>
    </font>
    <font>
      <sz val="11"/>
      <color rgb="FFFFFF00"/>
      <name val="Calibri"/>
    </font>
    <font>
      <b/>
      <sz val="11"/>
      <color rgb="FFFFFF00"/>
      <name val="Calibri"/>
    </font>
    <font>
      <b/>
      <sz val="14"/>
      <color rgb="FFFFFF00"/>
      <name val="Calibri"/>
    </font>
    <font>
      <b/>
      <sz val="14"/>
      <color rgb="FF808000"/>
      <name val="Calibri"/>
    </font>
    <font>
      <b/>
      <sz val="14"/>
      <name val="Calibri"/>
    </font>
    <font>
      <b/>
      <sz val="11"/>
      <color rgb="FFFF9900"/>
      <name val="Calibri"/>
    </font>
    <font>
      <b/>
      <i/>
      <sz val="11"/>
      <name val="Calibri"/>
    </font>
  </fonts>
  <fills count="1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9900"/>
      </patternFill>
    </fill>
    <fill>
      <patternFill patternType="solid">
        <fgColor rgb="FFCC99FF"/>
      </patternFill>
    </fill>
    <fill>
      <patternFill patternType="solid">
        <fgColor rgb="FFFFCC00"/>
      </patternFill>
    </fill>
    <fill>
      <patternFill patternType="solid">
        <fgColor rgb="FFFFCC99"/>
      </patternFill>
    </fill>
    <fill>
      <patternFill patternType="solid">
        <fgColor rgb="FF000000"/>
      </patternFill>
    </fill>
    <fill>
      <patternFill patternType="solid">
        <fgColor rgb="FFFFFFCC"/>
      </patternFill>
    </fill>
    <fill>
      <patternFill patternType="solid">
        <fgColor rgb="FFFF6600"/>
      </patternFill>
    </fill>
    <fill>
      <patternFill patternType="solid">
        <fgColor rgb="FF333399"/>
      </patternFill>
    </fill>
    <fill>
      <patternFill patternType="solid">
        <fgColor rgb="FFFFFF00"/>
      </patternFill>
    </fill>
    <fill>
      <patternFill patternType="solid">
        <fgColor rgb="FFFFFF99"/>
      </patternFill>
    </fill>
    <fill>
      <patternFill patternType="solid">
        <fgColor rgb="FF99CCFF"/>
      </patternFill>
    </fill>
    <fill>
      <patternFill patternType="solid">
        <fgColor rgb="FFCCFFCC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rgb="FFFF8080"/>
      </patternFill>
    </fill>
    <fill>
      <patternFill patternType="solid">
        <fgColor rgb="FFCCCCFF"/>
      </patternFill>
    </fill>
  </fills>
  <borders count="8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/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Dashed">
        <color rgb="FF993300"/>
      </left>
      <right/>
      <top style="mediumDashed">
        <color rgb="FF993300"/>
      </top>
      <bottom style="mediumDashed">
        <color rgb="FF993300"/>
      </bottom>
      <diagonal/>
    </border>
    <border>
      <left/>
      <right/>
      <top style="mediumDashed">
        <color rgb="FF993300"/>
      </top>
      <bottom style="mediumDashed">
        <color rgb="FF993300"/>
      </bottom>
      <diagonal/>
    </border>
    <border>
      <left/>
      <right style="mediumDashed">
        <color rgb="FF993300"/>
      </right>
      <top style="mediumDashed">
        <color rgb="FF993300"/>
      </top>
      <bottom style="mediumDashed">
        <color rgb="FF993300"/>
      </bottom>
      <diagonal/>
    </border>
    <border>
      <left style="mediumDashDot">
        <color rgb="FFFF0000"/>
      </left>
      <right/>
      <top style="mediumDashDot">
        <color rgb="FFFF0000"/>
      </top>
      <bottom style="mediumDashDot">
        <color rgb="FFFF0000"/>
      </bottom>
      <diagonal/>
    </border>
    <border>
      <left/>
      <right/>
      <top style="mediumDashDot">
        <color rgb="FFFF0000"/>
      </top>
      <bottom style="mediumDashDot">
        <color rgb="FFFF0000"/>
      </bottom>
      <diagonal/>
    </border>
    <border>
      <left/>
      <right style="mediumDashDot">
        <color rgb="FFFF0000"/>
      </right>
      <top style="mediumDashDot">
        <color rgb="FFFF0000"/>
      </top>
      <bottom style="mediumDashDot">
        <color rgb="FFFF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254">
    <xf numFmtId="0" fontId="0" fillId="0" borderId="0" xfId="0" applyNumberFormat="1" applyFont="1" applyAlignment="1">
      <alignment vertical="center"/>
    </xf>
    <xf numFmtId="0" fontId="1" fillId="2" borderId="0" xfId="0" applyNumberFormat="1" applyFont="1" applyFill="1" applyAlignment="1"/>
    <xf numFmtId="0" fontId="2" fillId="3" borderId="1" xfId="0" applyNumberFormat="1" applyFont="1" applyFill="1" applyBorder="1" applyAlignment="1">
      <alignment horizontal="center" vertical="center" wrapText="1"/>
    </xf>
    <xf numFmtId="0" fontId="3" fillId="3" borderId="2" xfId="0" applyNumberFormat="1" applyFont="1" applyFill="1" applyBorder="1" applyAlignment="1">
      <alignment horizontal="center" vertical="center" wrapText="1"/>
    </xf>
    <xf numFmtId="0" fontId="1" fillId="3" borderId="2" xfId="0" applyNumberFormat="1" applyFont="1" applyFill="1" applyBorder="1" applyAlignment="1">
      <alignment horizontal="center" vertical="center" wrapText="1"/>
    </xf>
    <xf numFmtId="0" fontId="3" fillId="2" borderId="0" xfId="0" applyNumberFormat="1" applyFont="1" applyFill="1" applyAlignment="1">
      <alignment wrapText="1"/>
    </xf>
    <xf numFmtId="0" fontId="5" fillId="5" borderId="2" xfId="0" applyNumberFormat="1" applyFont="1" applyFill="1" applyBorder="1" applyAlignment="1">
      <alignment horizontal="center" vertical="center" wrapText="1"/>
    </xf>
    <xf numFmtId="0" fontId="5" fillId="5" borderId="2" xfId="0" applyNumberFormat="1" applyFont="1" applyFill="1" applyBorder="1" applyAlignment="1">
      <alignment horizontal="center" vertical="center"/>
    </xf>
    <xf numFmtId="0" fontId="5" fillId="5" borderId="5" xfId="0" applyNumberFormat="1" applyFont="1" applyFill="1" applyBorder="1" applyAlignment="1">
      <alignment horizontal="center" vertical="center"/>
    </xf>
    <xf numFmtId="0" fontId="5" fillId="2" borderId="0" xfId="0" applyNumberFormat="1" applyFont="1" applyFill="1" applyAlignment="1">
      <alignment horizontal="right" vertical="center"/>
    </xf>
    <xf numFmtId="0" fontId="5" fillId="6" borderId="5" xfId="0" applyNumberFormat="1" applyFont="1" applyFill="1" applyBorder="1" applyAlignment="1">
      <alignment horizontal="center" vertical="center"/>
    </xf>
    <xf numFmtId="2" fontId="7" fillId="0" borderId="0" xfId="0" applyNumberFormat="1" applyFont="1" applyAlignment="1">
      <alignment horizontal="center" vertical="center" wrapText="1"/>
    </xf>
    <xf numFmtId="0" fontId="8" fillId="2" borderId="0" xfId="0" applyNumberFormat="1" applyFont="1" applyFill="1" applyAlignment="1">
      <alignment horizontal="center" vertical="center"/>
    </xf>
    <xf numFmtId="0" fontId="1" fillId="0" borderId="0" xfId="0" applyNumberFormat="1" applyFont="1" applyAlignment="1"/>
    <xf numFmtId="0" fontId="2" fillId="6" borderId="17" xfId="0" applyNumberFormat="1" applyFont="1" applyFill="1" applyBorder="1" applyAlignment="1">
      <alignment horizontal="center" vertical="center" wrapText="1"/>
    </xf>
    <xf numFmtId="0" fontId="12" fillId="6" borderId="17" xfId="0" applyNumberFormat="1" applyFont="1" applyFill="1" applyBorder="1" applyAlignment="1">
      <alignment horizontal="center" vertical="center" wrapText="1"/>
    </xf>
    <xf numFmtId="0" fontId="1" fillId="9" borderId="17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Alignment="1">
      <alignment horizontal="center" vertical="center" wrapText="1"/>
    </xf>
    <xf numFmtId="0" fontId="13" fillId="6" borderId="18" xfId="0" applyNumberFormat="1" applyFont="1" applyFill="1" applyBorder="1" applyAlignment="1">
      <alignment horizontal="center" vertical="center" wrapText="1"/>
    </xf>
    <xf numFmtId="0" fontId="13" fillId="4" borderId="18" xfId="0" applyNumberFormat="1" applyFont="1" applyFill="1" applyBorder="1" applyAlignment="1">
      <alignment horizontal="center" vertical="center" wrapText="1"/>
    </xf>
    <xf numFmtId="0" fontId="14" fillId="10" borderId="18" xfId="0" applyNumberFormat="1" applyFont="1" applyFill="1" applyBorder="1" applyAlignment="1">
      <alignment horizontal="center" vertical="center" wrapText="1"/>
    </xf>
    <xf numFmtId="0" fontId="10" fillId="9" borderId="0" xfId="0" applyNumberFormat="1" applyFont="1" applyFill="1" applyAlignment="1">
      <alignment horizontal="center" vertical="center"/>
    </xf>
    <xf numFmtId="164" fontId="13" fillId="9" borderId="0" xfId="0" applyNumberFormat="1" applyFont="1" applyFill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/>
    <xf numFmtId="0" fontId="16" fillId="12" borderId="0" xfId="0" applyNumberFormat="1" applyFont="1" applyFill="1" applyAlignment="1">
      <alignment horizontal="center" vertical="center"/>
    </xf>
    <xf numFmtId="164" fontId="13" fillId="12" borderId="0" xfId="0" applyNumberFormat="1" applyFont="1" applyFill="1" applyAlignment="1">
      <alignment horizontal="center" vertical="center"/>
    </xf>
    <xf numFmtId="0" fontId="10" fillId="6" borderId="0" xfId="0" applyNumberFormat="1" applyFont="1" applyFill="1" applyAlignment="1">
      <alignment horizontal="center" vertical="center"/>
    </xf>
    <xf numFmtId="164" fontId="13" fillId="5" borderId="0" xfId="0" applyNumberFormat="1" applyFont="1" applyFill="1" applyAlignment="1">
      <alignment horizontal="center" vertical="center"/>
    </xf>
    <xf numFmtId="0" fontId="16" fillId="0" borderId="0" xfId="0" applyNumberFormat="1" applyFont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8" fillId="11" borderId="25" xfId="0" applyNumberFormat="1" applyFont="1" applyFill="1" applyBorder="1" applyAlignment="1">
      <alignment horizontal="center" vertical="center"/>
    </xf>
    <xf numFmtId="0" fontId="19" fillId="11" borderId="26" xfId="0" applyNumberFormat="1" applyFont="1" applyFill="1" applyBorder="1" applyAlignment="1">
      <alignment horizontal="center" vertical="center"/>
    </xf>
    <xf numFmtId="164" fontId="20" fillId="7" borderId="27" xfId="0" applyNumberFormat="1" applyFont="1" applyFill="1" applyBorder="1" applyAlignment="1">
      <alignment horizontal="center" vertical="center"/>
    </xf>
    <xf numFmtId="2" fontId="21" fillId="13" borderId="0" xfId="0" applyNumberFormat="1" applyFont="1" applyFill="1" applyAlignment="1"/>
    <xf numFmtId="0" fontId="13" fillId="0" borderId="0" xfId="0" applyNumberFormat="1" applyFont="1" applyAlignment="1">
      <alignment horizontal="left"/>
    </xf>
    <xf numFmtId="0" fontId="19" fillId="11" borderId="28" xfId="0" applyNumberFormat="1" applyFont="1" applyFill="1" applyBorder="1" applyAlignment="1">
      <alignment horizontal="center" vertical="center"/>
    </xf>
    <xf numFmtId="0" fontId="13" fillId="11" borderId="29" xfId="0" applyNumberFormat="1" applyFont="1" applyFill="1" applyBorder="1" applyAlignment="1">
      <alignment horizontal="center" vertical="center"/>
    </xf>
    <xf numFmtId="164" fontId="20" fillId="7" borderId="30" xfId="0" applyNumberFormat="1" applyFont="1" applyFill="1" applyBorder="1" applyAlignment="1">
      <alignment horizontal="center"/>
    </xf>
    <xf numFmtId="0" fontId="17" fillId="11" borderId="5" xfId="0" applyNumberFormat="1" applyFont="1" applyFill="1" applyBorder="1" applyAlignment="1">
      <alignment horizontal="center" vertical="top"/>
    </xf>
    <xf numFmtId="2" fontId="19" fillId="14" borderId="31" xfId="0" applyNumberFormat="1" applyFont="1" applyFill="1" applyBorder="1" applyAlignment="1">
      <alignment horizontal="center" vertical="center"/>
    </xf>
    <xf numFmtId="0" fontId="17" fillId="11" borderId="32" xfId="0" applyNumberFormat="1" applyFont="1" applyFill="1" applyBorder="1" applyAlignment="1"/>
    <xf numFmtId="0" fontId="17" fillId="11" borderId="33" xfId="0" applyNumberFormat="1" applyFont="1" applyFill="1" applyBorder="1" applyAlignment="1"/>
    <xf numFmtId="0" fontId="23" fillId="0" borderId="0" xfId="0" applyNumberFormat="1" applyFont="1" applyAlignment="1"/>
    <xf numFmtId="2" fontId="1" fillId="0" borderId="0" xfId="0" applyNumberFormat="1" applyFont="1" applyAlignment="1"/>
    <xf numFmtId="0" fontId="1" fillId="0" borderId="0" xfId="0" applyNumberFormat="1" applyFont="1" applyAlignment="1">
      <alignment wrapText="1"/>
    </xf>
    <xf numFmtId="0" fontId="26" fillId="16" borderId="12" xfId="0" applyNumberFormat="1" applyFont="1" applyFill="1" applyBorder="1" applyAlignment="1">
      <alignment horizontal="center" vertical="center" wrapText="1"/>
    </xf>
    <xf numFmtId="0" fontId="13" fillId="17" borderId="2" xfId="0" applyNumberFormat="1" applyFont="1" applyFill="1" applyBorder="1" applyAlignment="1">
      <alignment horizontal="center" wrapText="1"/>
    </xf>
    <xf numFmtId="0" fontId="13" fillId="6" borderId="2" xfId="0" applyNumberFormat="1" applyFont="1" applyFill="1" applyBorder="1" applyAlignment="1">
      <alignment horizontal="center" vertical="justify" wrapText="1"/>
    </xf>
    <xf numFmtId="0" fontId="26" fillId="16" borderId="5" xfId="0" applyNumberFormat="1" applyFont="1" applyFill="1" applyBorder="1" applyAlignment="1">
      <alignment horizontal="center" vertical="center" wrapText="1"/>
    </xf>
    <xf numFmtId="0" fontId="13" fillId="17" borderId="38" xfId="0" applyNumberFormat="1" applyFont="1" applyFill="1" applyBorder="1" applyAlignment="1">
      <alignment horizontal="center" vertical="center"/>
    </xf>
    <xf numFmtId="0" fontId="13" fillId="17" borderId="39" xfId="0" applyNumberFormat="1" applyFont="1" applyFill="1" applyBorder="1" applyAlignment="1">
      <alignment horizontal="center" vertical="center"/>
    </xf>
    <xf numFmtId="0" fontId="13" fillId="17" borderId="34" xfId="0" applyNumberFormat="1" applyFont="1" applyFill="1" applyBorder="1" applyAlignment="1">
      <alignment horizontal="center" vertical="center"/>
    </xf>
    <xf numFmtId="0" fontId="13" fillId="12" borderId="40" xfId="0" applyNumberFormat="1" applyFont="1" applyFill="1" applyBorder="1" applyAlignment="1">
      <alignment horizontal="center" vertical="center"/>
    </xf>
    <xf numFmtId="0" fontId="13" fillId="12" borderId="41" xfId="0" applyNumberFormat="1" applyFont="1" applyFill="1" applyBorder="1" applyAlignment="1">
      <alignment horizontal="center" vertical="center"/>
    </xf>
    <xf numFmtId="0" fontId="13" fillId="12" borderId="42" xfId="0" applyNumberFormat="1" applyFont="1" applyFill="1" applyBorder="1" applyAlignment="1">
      <alignment horizontal="center" vertical="center"/>
    </xf>
    <xf numFmtId="2" fontId="23" fillId="3" borderId="43" xfId="0" applyNumberFormat="1" applyFont="1" applyFill="1" applyBorder="1" applyAlignment="1">
      <alignment horizontal="center" vertical="center"/>
    </xf>
    <xf numFmtId="0" fontId="13" fillId="3" borderId="44" xfId="0" applyNumberFormat="1" applyFont="1" applyFill="1" applyBorder="1" applyAlignment="1">
      <alignment horizontal="center" vertical="center"/>
    </xf>
    <xf numFmtId="0" fontId="23" fillId="13" borderId="45" xfId="0" applyNumberFormat="1" applyFont="1" applyFill="1" applyBorder="1" applyAlignment="1">
      <alignment horizontal="center" vertical="center"/>
    </xf>
    <xf numFmtId="0" fontId="13" fillId="13" borderId="46" xfId="0" applyNumberFormat="1" applyFont="1" applyFill="1" applyBorder="1" applyAlignment="1">
      <alignment horizontal="center" vertical="center"/>
    </xf>
    <xf numFmtId="0" fontId="1" fillId="16" borderId="12" xfId="0" applyNumberFormat="1" applyFont="1" applyFill="1" applyBorder="1" applyAlignment="1">
      <alignment horizontal="center"/>
    </xf>
    <xf numFmtId="164" fontId="18" fillId="15" borderId="47" xfId="0" applyNumberFormat="1" applyFont="1" applyFill="1" applyBorder="1" applyAlignment="1">
      <alignment horizontal="center"/>
    </xf>
    <xf numFmtId="164" fontId="15" fillId="15" borderId="47" xfId="0" applyNumberFormat="1" applyFont="1" applyFill="1" applyBorder="1" applyAlignment="1">
      <alignment horizontal="center"/>
    </xf>
    <xf numFmtId="165" fontId="27" fillId="15" borderId="48" xfId="0" applyNumberFormat="1" applyFont="1" applyFill="1" applyBorder="1" applyAlignment="1">
      <alignment horizontal="center" vertical="center"/>
    </xf>
    <xf numFmtId="165" fontId="28" fillId="16" borderId="48" xfId="0" applyNumberFormat="1" applyFont="1" applyFill="1" applyBorder="1" applyAlignment="1">
      <alignment horizontal="center" vertical="center"/>
    </xf>
    <xf numFmtId="164" fontId="26" fillId="6" borderId="49" xfId="0" applyNumberFormat="1" applyFont="1" applyFill="1" applyBorder="1" applyAlignment="1"/>
    <xf numFmtId="164" fontId="13" fillId="17" borderId="45" xfId="0" applyNumberFormat="1" applyFont="1" applyFill="1" applyBorder="1" applyAlignment="1">
      <alignment horizontal="center"/>
    </xf>
    <xf numFmtId="2" fontId="13" fillId="17" borderId="50" xfId="0" applyNumberFormat="1" applyFont="1" applyFill="1" applyBorder="1" applyAlignment="1">
      <alignment horizontal="center"/>
    </xf>
    <xf numFmtId="2" fontId="13" fillId="17" borderId="47" xfId="0" applyNumberFormat="1" applyFont="1" applyFill="1" applyBorder="1" applyAlignment="1">
      <alignment horizontal="center" vertical="center"/>
    </xf>
    <xf numFmtId="164" fontId="13" fillId="12" borderId="51" xfId="0" applyNumberFormat="1" applyFont="1" applyFill="1" applyBorder="1" applyAlignment="1">
      <alignment horizontal="center"/>
    </xf>
    <xf numFmtId="164" fontId="13" fillId="12" borderId="52" xfId="0" applyNumberFormat="1" applyFont="1" applyFill="1" applyBorder="1" applyAlignment="1">
      <alignment horizontal="center"/>
    </xf>
    <xf numFmtId="2" fontId="13" fillId="12" borderId="46" xfId="0" applyNumberFormat="1" applyFont="1" applyFill="1" applyBorder="1" applyAlignment="1">
      <alignment horizontal="center"/>
    </xf>
    <xf numFmtId="2" fontId="23" fillId="3" borderId="51" xfId="0" applyNumberFormat="1" applyFont="1" applyFill="1" applyBorder="1" applyAlignment="1">
      <alignment horizontal="center"/>
    </xf>
    <xf numFmtId="164" fontId="13" fillId="3" borderId="46" xfId="0" applyNumberFormat="1" applyFont="1" applyFill="1" applyBorder="1" applyAlignment="1">
      <alignment horizontal="center"/>
    </xf>
    <xf numFmtId="0" fontId="23" fillId="13" borderId="45" xfId="0" applyNumberFormat="1" applyFont="1" applyFill="1" applyBorder="1" applyAlignment="1">
      <alignment horizontal="center"/>
    </xf>
    <xf numFmtId="2" fontId="13" fillId="13" borderId="46" xfId="0" applyNumberFormat="1" applyFont="1" applyFill="1" applyBorder="1" applyAlignment="1">
      <alignment horizontal="center"/>
    </xf>
    <xf numFmtId="0" fontId="1" fillId="16" borderId="53" xfId="0" applyNumberFormat="1" applyFont="1" applyFill="1" applyBorder="1" applyAlignment="1">
      <alignment horizontal="center"/>
    </xf>
    <xf numFmtId="164" fontId="1" fillId="0" borderId="0" xfId="0" applyNumberFormat="1" applyFont="1" applyAlignment="1"/>
    <xf numFmtId="164" fontId="18" fillId="2" borderId="47" xfId="0" applyNumberFormat="1" applyFont="1" applyFill="1" applyBorder="1" applyAlignment="1">
      <alignment horizontal="center"/>
    </xf>
    <xf numFmtId="164" fontId="15" fillId="2" borderId="47" xfId="0" applyNumberFormat="1" applyFont="1" applyFill="1" applyBorder="1" applyAlignment="1">
      <alignment horizontal="center"/>
    </xf>
    <xf numFmtId="165" fontId="27" fillId="2" borderId="48" xfId="0" applyNumberFormat="1" applyFont="1" applyFill="1" applyBorder="1" applyAlignment="1">
      <alignment horizontal="center" vertical="center"/>
    </xf>
    <xf numFmtId="165" fontId="28" fillId="15" borderId="48" xfId="0" applyNumberFormat="1" applyFont="1" applyFill="1" applyBorder="1" applyAlignment="1">
      <alignment horizontal="center" vertical="center"/>
    </xf>
    <xf numFmtId="164" fontId="26" fillId="15" borderId="49" xfId="0" applyNumberFormat="1" applyFont="1" applyFill="1" applyBorder="1" applyAlignment="1"/>
    <xf numFmtId="164" fontId="13" fillId="8" borderId="45" xfId="0" applyNumberFormat="1" applyFont="1" applyFill="1" applyBorder="1" applyAlignment="1">
      <alignment horizontal="center"/>
    </xf>
    <xf numFmtId="2" fontId="13" fillId="8" borderId="50" xfId="0" applyNumberFormat="1" applyFont="1" applyFill="1" applyBorder="1" applyAlignment="1">
      <alignment horizontal="center"/>
    </xf>
    <xf numFmtId="2" fontId="13" fillId="15" borderId="47" xfId="0" applyNumberFormat="1" applyFont="1" applyFill="1" applyBorder="1" applyAlignment="1">
      <alignment horizontal="center" vertical="center"/>
    </xf>
    <xf numFmtId="164" fontId="13" fillId="8" borderId="51" xfId="0" applyNumberFormat="1" applyFont="1" applyFill="1" applyBorder="1" applyAlignment="1">
      <alignment horizontal="center"/>
    </xf>
    <xf numFmtId="2" fontId="13" fillId="8" borderId="46" xfId="0" applyNumberFormat="1" applyFont="1" applyFill="1" applyBorder="1" applyAlignment="1">
      <alignment horizontal="center"/>
    </xf>
    <xf numFmtId="2" fontId="23" fillId="5" borderId="51" xfId="0" applyNumberFormat="1" applyFont="1" applyFill="1" applyBorder="1" applyAlignment="1">
      <alignment horizontal="center"/>
    </xf>
    <xf numFmtId="164" fontId="13" fillId="11" borderId="46" xfId="0" applyNumberFormat="1" applyFont="1" applyFill="1" applyBorder="1" applyAlignment="1">
      <alignment horizontal="center"/>
    </xf>
    <xf numFmtId="0" fontId="23" fillId="18" borderId="45" xfId="0" applyNumberFormat="1" applyFont="1" applyFill="1" applyBorder="1" applyAlignment="1">
      <alignment horizontal="center"/>
    </xf>
    <xf numFmtId="2" fontId="23" fillId="3" borderId="54" xfId="0" applyNumberFormat="1" applyFont="1" applyFill="1" applyBorder="1" applyAlignment="1">
      <alignment horizontal="center"/>
    </xf>
    <xf numFmtId="164" fontId="13" fillId="3" borderId="55" xfId="0" applyNumberFormat="1" applyFont="1" applyFill="1" applyBorder="1" applyAlignment="1">
      <alignment horizontal="center"/>
    </xf>
    <xf numFmtId="2" fontId="23" fillId="11" borderId="2" xfId="0" applyNumberFormat="1" applyFont="1" applyFill="1" applyBorder="1" applyAlignment="1">
      <alignment horizontal="center"/>
    </xf>
    <xf numFmtId="2" fontId="13" fillId="11" borderId="2" xfId="0" applyNumberFormat="1" applyFont="1" applyFill="1" applyBorder="1" applyAlignment="1">
      <alignment horizontal="center"/>
    </xf>
    <xf numFmtId="2" fontId="23" fillId="18" borderId="45" xfId="0" applyNumberFormat="1" applyFont="1" applyFill="1" applyBorder="1" applyAlignment="1">
      <alignment horizontal="center"/>
    </xf>
    <xf numFmtId="4" fontId="13" fillId="13" borderId="34" xfId="0" applyNumberFormat="1" applyFont="1" applyFill="1" applyBorder="1" applyAlignment="1">
      <alignment horizontal="center"/>
    </xf>
    <xf numFmtId="2" fontId="23" fillId="5" borderId="2" xfId="0" applyNumberFormat="1" applyFont="1" applyFill="1" applyBorder="1" applyAlignment="1">
      <alignment horizontal="center"/>
    </xf>
    <xf numFmtId="2" fontId="23" fillId="13" borderId="45" xfId="0" applyNumberFormat="1" applyFont="1" applyFill="1" applyBorder="1" applyAlignment="1">
      <alignment horizontal="center"/>
    </xf>
    <xf numFmtId="0" fontId="6" fillId="0" borderId="0" xfId="0" applyNumberFormat="1" applyFont="1" applyAlignment="1"/>
    <xf numFmtId="164" fontId="13" fillId="8" borderId="56" xfId="0" applyNumberFormat="1" applyFont="1" applyFill="1" applyBorder="1" applyAlignment="1">
      <alignment horizontal="center"/>
    </xf>
    <xf numFmtId="2" fontId="13" fillId="8" borderId="57" xfId="0" applyNumberFormat="1" applyFont="1" applyFill="1" applyBorder="1" applyAlignment="1">
      <alignment horizontal="center"/>
    </xf>
    <xf numFmtId="2" fontId="13" fillId="15" borderId="58" xfId="0" applyNumberFormat="1" applyFont="1" applyFill="1" applyBorder="1" applyAlignment="1">
      <alignment horizontal="center" vertical="center"/>
    </xf>
    <xf numFmtId="4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/>
    </xf>
    <xf numFmtId="4" fontId="13" fillId="14" borderId="59" xfId="0" applyNumberFormat="1" applyFont="1" applyFill="1" applyBorder="1" applyAlignment="1">
      <alignment horizontal="center" wrapText="1"/>
    </xf>
    <xf numFmtId="4" fontId="13" fillId="14" borderId="59" xfId="0" applyNumberFormat="1" applyFont="1" applyFill="1" applyBorder="1" applyAlignment="1">
      <alignment horizontal="center" vertical="distributed"/>
    </xf>
    <xf numFmtId="4" fontId="13" fillId="14" borderId="17" xfId="0" applyNumberFormat="1" applyFont="1" applyFill="1" applyBorder="1" applyAlignment="1">
      <alignment horizontal="center" vertical="distributed"/>
    </xf>
    <xf numFmtId="0" fontId="13" fillId="14" borderId="17" xfId="0" applyNumberFormat="1" applyFont="1" applyFill="1" applyBorder="1" applyAlignment="1">
      <alignment horizontal="center" vertical="center" wrapText="1"/>
    </xf>
    <xf numFmtId="4" fontId="22" fillId="12" borderId="2" xfId="0" applyNumberFormat="1" applyFont="1" applyFill="1" applyBorder="1" applyAlignment="1">
      <alignment horizontal="center" vertical="distributed"/>
    </xf>
    <xf numFmtId="3" fontId="30" fillId="14" borderId="43" xfId="0" applyNumberFormat="1" applyFont="1" applyFill="1" applyBorder="1" applyAlignment="1">
      <alignment horizontal="center"/>
    </xf>
    <xf numFmtId="166" fontId="30" fillId="14" borderId="69" xfId="0" applyNumberFormat="1" applyFont="1" applyFill="1" applyBorder="1" applyAlignment="1">
      <alignment horizontal="center"/>
    </xf>
    <xf numFmtId="4" fontId="22" fillId="12" borderId="2" xfId="0" applyNumberFormat="1" applyFont="1" applyFill="1" applyBorder="1" applyAlignment="1">
      <alignment horizontal="center"/>
    </xf>
    <xf numFmtId="2" fontId="1" fillId="12" borderId="51" xfId="0" applyNumberFormat="1" applyFont="1" applyFill="1" applyBorder="1" applyAlignment="1">
      <alignment horizontal="center"/>
    </xf>
    <xf numFmtId="0" fontId="1" fillId="12" borderId="59" xfId="0" applyNumberFormat="1" applyFont="1" applyFill="1" applyBorder="1" applyAlignment="1">
      <alignment horizontal="center"/>
    </xf>
    <xf numFmtId="167" fontId="1" fillId="12" borderId="59" xfId="0" applyNumberFormat="1" applyFont="1" applyFill="1" applyBorder="1" applyAlignment="1">
      <alignment horizontal="center"/>
    </xf>
    <xf numFmtId="0" fontId="1" fillId="12" borderId="54" xfId="0" applyNumberFormat="1" applyFont="1" applyFill="1" applyBorder="1" applyAlignment="1">
      <alignment horizontal="center"/>
    </xf>
    <xf numFmtId="4" fontId="13" fillId="12" borderId="17" xfId="0" applyNumberFormat="1" applyFont="1" applyFill="1" applyBorder="1" applyAlignment="1">
      <alignment horizontal="center"/>
    </xf>
    <xf numFmtId="4" fontId="31" fillId="12" borderId="17" xfId="0" applyNumberFormat="1" applyFont="1" applyFill="1" applyBorder="1" applyAlignment="1">
      <alignment horizontal="center"/>
    </xf>
    <xf numFmtId="4" fontId="32" fillId="12" borderId="17" xfId="0" applyNumberFormat="1" applyFont="1" applyFill="1" applyBorder="1" applyAlignment="1">
      <alignment horizontal="center"/>
    </xf>
    <xf numFmtId="165" fontId="13" fillId="12" borderId="18" xfId="0" applyNumberFormat="1" applyFont="1" applyFill="1" applyBorder="1" applyAlignment="1">
      <alignment horizontal="center"/>
    </xf>
    <xf numFmtId="2" fontId="1" fillId="12" borderId="59" xfId="0" applyNumberFormat="1" applyFont="1" applyFill="1" applyBorder="1" applyAlignment="1">
      <alignment horizontal="center"/>
    </xf>
    <xf numFmtId="4" fontId="31" fillId="12" borderId="50" xfId="0" applyNumberFormat="1" applyFont="1" applyFill="1" applyBorder="1" applyAlignment="1">
      <alignment horizontal="center"/>
    </xf>
    <xf numFmtId="2" fontId="13" fillId="14" borderId="2" xfId="0" applyNumberFormat="1" applyFont="1" applyFill="1" applyBorder="1" applyAlignment="1">
      <alignment horizontal="center" vertical="center"/>
    </xf>
    <xf numFmtId="0" fontId="1" fillId="16" borderId="59" xfId="0" applyNumberFormat="1" applyFont="1" applyFill="1" applyBorder="1" applyAlignment="1">
      <alignment horizontal="center"/>
    </xf>
    <xf numFmtId="167" fontId="1" fillId="16" borderId="59" xfId="0" applyNumberFormat="1" applyFont="1" applyFill="1" applyBorder="1" applyAlignment="1">
      <alignment horizontal="center"/>
    </xf>
    <xf numFmtId="0" fontId="1" fillId="16" borderId="75" xfId="0" applyNumberFormat="1" applyFont="1" applyFill="1" applyBorder="1" applyAlignment="1">
      <alignment horizontal="center"/>
    </xf>
    <xf numFmtId="4" fontId="13" fillId="16" borderId="18" xfId="0" applyNumberFormat="1" applyFont="1" applyFill="1" applyBorder="1" applyAlignment="1">
      <alignment horizontal="center"/>
    </xf>
    <xf numFmtId="0" fontId="1" fillId="12" borderId="75" xfId="0" applyNumberFormat="1" applyFont="1" applyFill="1" applyBorder="1" applyAlignment="1">
      <alignment horizontal="center"/>
    </xf>
    <xf numFmtId="4" fontId="13" fillId="12" borderId="18" xfId="0" applyNumberFormat="1" applyFont="1" applyFill="1" applyBorder="1" applyAlignment="1">
      <alignment horizontal="center"/>
    </xf>
    <xf numFmtId="0" fontId="1" fillId="12" borderId="43" xfId="0" applyNumberFormat="1" applyFont="1" applyFill="1" applyBorder="1" applyAlignment="1">
      <alignment horizontal="center"/>
    </xf>
    <xf numFmtId="4" fontId="13" fillId="12" borderId="69" xfId="0" applyNumberFormat="1" applyFont="1" applyFill="1" applyBorder="1" applyAlignment="1">
      <alignment horizontal="center"/>
    </xf>
    <xf numFmtId="165" fontId="13" fillId="12" borderId="69" xfId="0" applyNumberFormat="1" applyFont="1" applyFill="1" applyBorder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left"/>
    </xf>
    <xf numFmtId="0" fontId="17" fillId="0" borderId="0" xfId="0" applyNumberFormat="1" applyFont="1" applyAlignment="1">
      <alignment horizontal="right"/>
    </xf>
    <xf numFmtId="2" fontId="13" fillId="0" borderId="0" xfId="0" applyNumberFormat="1" applyFont="1" applyAlignment="1">
      <alignment horizontal="center"/>
    </xf>
    <xf numFmtId="4" fontId="13" fillId="0" borderId="0" xfId="0" applyNumberFormat="1" applyFont="1" applyAlignment="1">
      <alignment horizontal="center"/>
    </xf>
    <xf numFmtId="2" fontId="15" fillId="12" borderId="2" xfId="0" applyNumberFormat="1" applyFont="1" applyFill="1" applyBorder="1" applyAlignment="1">
      <alignment horizontal="center"/>
    </xf>
    <xf numFmtId="2" fontId="15" fillId="12" borderId="4" xfId="0" applyNumberFormat="1" applyFont="1" applyFill="1" applyBorder="1" applyAlignment="1">
      <alignment horizontal="center"/>
    </xf>
    <xf numFmtId="0" fontId="17" fillId="11" borderId="2" xfId="0" applyNumberFormat="1" applyFont="1" applyFill="1" applyBorder="1" applyAlignment="1">
      <alignment horizontal="center" vertical="justify"/>
    </xf>
    <xf numFmtId="0" fontId="17" fillId="11" borderId="20" xfId="0" applyNumberFormat="1" applyFont="1" applyFill="1" applyBorder="1" applyAlignment="1">
      <alignment horizontal="center" vertical="justify"/>
    </xf>
    <xf numFmtId="0" fontId="17" fillId="11" borderId="21" xfId="0" applyNumberFormat="1" applyFont="1" applyFill="1" applyBorder="1" applyAlignment="1">
      <alignment horizontal="center" vertical="justify"/>
    </xf>
    <xf numFmtId="0" fontId="17" fillId="11" borderId="23" xfId="0" applyNumberFormat="1" applyFont="1" applyFill="1" applyBorder="1" applyAlignment="1">
      <alignment horizontal="center" vertical="justify"/>
    </xf>
    <xf numFmtId="0" fontId="22" fillId="12" borderId="2" xfId="0" applyNumberFormat="1" applyFont="1" applyFill="1" applyBorder="1" applyAlignment="1">
      <alignment horizontal="center" vertical="center"/>
    </xf>
    <xf numFmtId="0" fontId="22" fillId="12" borderId="4" xfId="0" applyNumberFormat="1" applyFont="1" applyFill="1" applyBorder="1" applyAlignment="1">
      <alignment horizontal="center" vertical="center"/>
    </xf>
    <xf numFmtId="0" fontId="17" fillId="11" borderId="2" xfId="0" applyNumberFormat="1" applyFont="1" applyFill="1" applyBorder="1" applyAlignment="1">
      <alignment horizontal="center" vertical="center" wrapText="1"/>
    </xf>
    <xf numFmtId="0" fontId="17" fillId="11" borderId="20" xfId="0" applyNumberFormat="1" applyFont="1" applyFill="1" applyBorder="1" applyAlignment="1">
      <alignment horizontal="center" vertical="center" wrapText="1"/>
    </xf>
    <xf numFmtId="0" fontId="17" fillId="11" borderId="21" xfId="0" applyNumberFormat="1" applyFont="1" applyFill="1" applyBorder="1" applyAlignment="1">
      <alignment horizontal="center" vertical="center" wrapText="1"/>
    </xf>
    <xf numFmtId="0" fontId="17" fillId="11" borderId="23" xfId="0" applyNumberFormat="1" applyFont="1" applyFill="1" applyBorder="1" applyAlignment="1">
      <alignment horizontal="center" vertical="center" wrapText="1"/>
    </xf>
    <xf numFmtId="0" fontId="17" fillId="11" borderId="12" xfId="0" applyNumberFormat="1" applyFont="1" applyFill="1" applyBorder="1" applyAlignment="1">
      <alignment horizontal="center" vertical="center"/>
    </xf>
    <xf numFmtId="0" fontId="17" fillId="11" borderId="24" xfId="0" applyNumberFormat="1" applyFont="1" applyFill="1" applyBorder="1" applyAlignment="1">
      <alignment horizontal="center" vertical="center"/>
    </xf>
    <xf numFmtId="0" fontId="6" fillId="7" borderId="2" xfId="0" applyNumberFormat="1" applyFont="1" applyFill="1" applyBorder="1" applyAlignment="1">
      <alignment horizontal="center" vertical="center" wrapText="1"/>
    </xf>
    <xf numFmtId="0" fontId="6" fillId="7" borderId="19" xfId="0" applyNumberFormat="1" applyFont="1" applyFill="1" applyBorder="1" applyAlignment="1">
      <alignment horizontal="center" vertical="center" wrapText="1"/>
    </xf>
    <xf numFmtId="0" fontId="6" fillId="7" borderId="20" xfId="0" applyNumberFormat="1" applyFont="1" applyFill="1" applyBorder="1" applyAlignment="1">
      <alignment horizontal="center" vertical="center" wrapText="1"/>
    </xf>
    <xf numFmtId="0" fontId="6" fillId="7" borderId="21" xfId="0" applyNumberFormat="1" applyFont="1" applyFill="1" applyBorder="1" applyAlignment="1">
      <alignment horizontal="center" vertical="center" wrapText="1"/>
    </xf>
    <xf numFmtId="0" fontId="6" fillId="7" borderId="22" xfId="0" applyNumberFormat="1" applyFont="1" applyFill="1" applyBorder="1" applyAlignment="1">
      <alignment horizontal="center" vertical="center" wrapText="1"/>
    </xf>
    <xf numFmtId="0" fontId="6" fillId="7" borderId="23" xfId="0" applyNumberFormat="1" applyFont="1" applyFill="1" applyBorder="1" applyAlignment="1">
      <alignment horizontal="center" vertical="center" wrapText="1"/>
    </xf>
    <xf numFmtId="2" fontId="7" fillId="0" borderId="0" xfId="0" applyNumberFormat="1" applyFont="1" applyAlignment="1">
      <alignment horizontal="center" vertical="center" wrapText="1"/>
    </xf>
    <xf numFmtId="2" fontId="9" fillId="0" borderId="12" xfId="0" applyNumberFormat="1" applyFont="1" applyBorder="1" applyAlignment="1">
      <alignment horizontal="center" vertical="center" wrapText="1"/>
    </xf>
    <xf numFmtId="2" fontId="9" fillId="0" borderId="13" xfId="0" applyNumberFormat="1" applyFont="1" applyBorder="1" applyAlignment="1">
      <alignment horizontal="center" vertical="center" wrapText="1"/>
    </xf>
    <xf numFmtId="2" fontId="9" fillId="0" borderId="14" xfId="0" applyNumberFormat="1" applyFont="1" applyBorder="1" applyAlignment="1">
      <alignment horizontal="center" vertical="center" wrapText="1"/>
    </xf>
    <xf numFmtId="0" fontId="4" fillId="4" borderId="2" xfId="0" applyNumberFormat="1" applyFont="1" applyFill="1" applyBorder="1" applyAlignment="1">
      <alignment horizontal="center" vertical="center" wrapText="1"/>
    </xf>
    <xf numFmtId="0" fontId="4" fillId="4" borderId="3" xfId="0" applyNumberFormat="1" applyFont="1" applyFill="1" applyBorder="1" applyAlignment="1">
      <alignment horizontal="center" vertical="center" wrapText="1"/>
    </xf>
    <xf numFmtId="0" fontId="4" fillId="4" borderId="4" xfId="0" applyNumberFormat="1" applyFont="1" applyFill="1" applyBorder="1" applyAlignment="1">
      <alignment horizontal="center" vertical="center" wrapText="1"/>
    </xf>
    <xf numFmtId="2" fontId="5" fillId="4" borderId="2" xfId="0" applyNumberFormat="1" applyFont="1" applyFill="1" applyBorder="1" applyAlignment="1">
      <alignment horizontal="center" vertical="center"/>
    </xf>
    <xf numFmtId="2" fontId="5" fillId="4" borderId="3" xfId="0" applyNumberFormat="1" applyFont="1" applyFill="1" applyBorder="1" applyAlignment="1">
      <alignment horizontal="center" vertical="center"/>
    </xf>
    <xf numFmtId="2" fontId="5" fillId="4" borderId="4" xfId="0" applyNumberFormat="1" applyFont="1" applyFill="1" applyBorder="1" applyAlignment="1">
      <alignment horizontal="center" vertical="center"/>
    </xf>
    <xf numFmtId="0" fontId="10" fillId="2" borderId="2" xfId="0" applyNumberFormat="1" applyFont="1" applyFill="1" applyBorder="1" applyAlignment="1">
      <alignment horizontal="center" vertical="center"/>
    </xf>
    <xf numFmtId="0" fontId="10" fillId="2" borderId="3" xfId="0" applyNumberFormat="1" applyFont="1" applyFill="1" applyBorder="1" applyAlignment="1">
      <alignment horizontal="center" vertical="center"/>
    </xf>
    <xf numFmtId="0" fontId="10" fillId="2" borderId="4" xfId="0" applyNumberFormat="1" applyFont="1" applyFill="1" applyBorder="1" applyAlignment="1">
      <alignment horizontal="center" vertical="center"/>
    </xf>
    <xf numFmtId="0" fontId="6" fillId="7" borderId="6" xfId="0" applyNumberFormat="1" applyFont="1" applyFill="1" applyBorder="1" applyAlignment="1">
      <alignment horizontal="center" vertical="center" wrapText="1"/>
    </xf>
    <xf numFmtId="0" fontId="6" fillId="7" borderId="7" xfId="0" applyNumberFormat="1" applyFont="1" applyFill="1" applyBorder="1" applyAlignment="1">
      <alignment horizontal="center" vertical="center" wrapText="1"/>
    </xf>
    <xf numFmtId="0" fontId="6" fillId="7" borderId="8" xfId="0" applyNumberFormat="1" applyFont="1" applyFill="1" applyBorder="1" applyAlignment="1">
      <alignment horizontal="center" vertical="center" wrapText="1"/>
    </xf>
    <xf numFmtId="0" fontId="6" fillId="7" borderId="9" xfId="0" applyNumberFormat="1" applyFont="1" applyFill="1" applyBorder="1" applyAlignment="1">
      <alignment horizontal="center" vertical="center" wrapText="1"/>
    </xf>
    <xf numFmtId="0" fontId="6" fillId="7" borderId="10" xfId="0" applyNumberFormat="1" applyFont="1" applyFill="1" applyBorder="1" applyAlignment="1">
      <alignment horizontal="center" vertical="center" wrapText="1"/>
    </xf>
    <xf numFmtId="0" fontId="6" fillId="7" borderId="11" xfId="0" applyNumberFormat="1" applyFont="1" applyFill="1" applyBorder="1" applyAlignment="1">
      <alignment horizontal="center" vertical="center" wrapText="1"/>
    </xf>
    <xf numFmtId="0" fontId="6" fillId="7" borderId="6" xfId="0" applyNumberFormat="1" applyFont="1" applyFill="1" applyBorder="1" applyAlignment="1">
      <alignment horizontal="center" wrapText="1"/>
    </xf>
    <xf numFmtId="0" fontId="6" fillId="7" borderId="7" xfId="0" applyNumberFormat="1" applyFont="1" applyFill="1" applyBorder="1" applyAlignment="1">
      <alignment horizontal="center" wrapText="1"/>
    </xf>
    <xf numFmtId="0" fontId="6" fillId="7" borderId="8" xfId="0" applyNumberFormat="1" applyFont="1" applyFill="1" applyBorder="1" applyAlignment="1">
      <alignment horizontal="center" wrapText="1"/>
    </xf>
    <xf numFmtId="0" fontId="6" fillId="7" borderId="9" xfId="0" applyNumberFormat="1" applyFont="1" applyFill="1" applyBorder="1" applyAlignment="1">
      <alignment horizontal="center" wrapText="1"/>
    </xf>
    <xf numFmtId="0" fontId="6" fillId="7" borderId="10" xfId="0" applyNumberFormat="1" applyFont="1" applyFill="1" applyBorder="1" applyAlignment="1">
      <alignment horizontal="center" wrapText="1"/>
    </xf>
    <xf numFmtId="0" fontId="6" fillId="7" borderId="11" xfId="0" applyNumberFormat="1" applyFont="1" applyFill="1" applyBorder="1" applyAlignment="1">
      <alignment horizontal="center" wrapText="1"/>
    </xf>
    <xf numFmtId="2" fontId="11" fillId="8" borderId="6" xfId="0" applyNumberFormat="1" applyFont="1" applyFill="1" applyBorder="1" applyAlignment="1">
      <alignment horizontal="center" vertical="center"/>
    </xf>
    <xf numFmtId="2" fontId="11" fillId="8" borderId="15" xfId="0" applyNumberFormat="1" applyFont="1" applyFill="1" applyBorder="1" applyAlignment="1">
      <alignment horizontal="center" vertical="center"/>
    </xf>
    <xf numFmtId="2" fontId="11" fillId="8" borderId="16" xfId="0" applyNumberFormat="1" applyFont="1" applyFill="1" applyBorder="1" applyAlignment="1">
      <alignment horizontal="center" vertical="center"/>
    </xf>
    <xf numFmtId="164" fontId="11" fillId="8" borderId="6" xfId="0" applyNumberFormat="1" applyFont="1" applyFill="1" applyBorder="1" applyAlignment="1">
      <alignment horizontal="center" vertical="center"/>
    </xf>
    <xf numFmtId="164" fontId="11" fillId="8" borderId="15" xfId="0" applyNumberFormat="1" applyFont="1" applyFill="1" applyBorder="1" applyAlignment="1">
      <alignment horizontal="center" vertical="center"/>
    </xf>
    <xf numFmtId="164" fontId="11" fillId="8" borderId="16" xfId="0" applyNumberFormat="1" applyFont="1" applyFill="1" applyBorder="1" applyAlignment="1">
      <alignment horizontal="center" vertical="center"/>
    </xf>
    <xf numFmtId="0" fontId="15" fillId="11" borderId="6" xfId="0" applyNumberFormat="1" applyFont="1" applyFill="1" applyBorder="1" applyAlignment="1">
      <alignment horizontal="center" vertical="center" wrapText="1"/>
    </xf>
    <xf numFmtId="0" fontId="15" fillId="11" borderId="15" xfId="0" applyNumberFormat="1" applyFont="1" applyFill="1" applyBorder="1" applyAlignment="1">
      <alignment horizontal="center" vertical="center" wrapText="1"/>
    </xf>
    <xf numFmtId="0" fontId="15" fillId="11" borderId="16" xfId="0" applyNumberFormat="1" applyFont="1" applyFill="1" applyBorder="1" applyAlignment="1">
      <alignment horizontal="center" vertical="center" wrapText="1"/>
    </xf>
    <xf numFmtId="0" fontId="15" fillId="11" borderId="6" xfId="0" applyNumberFormat="1" applyFont="1" applyFill="1" applyBorder="1" applyAlignment="1">
      <alignment horizontal="center" wrapText="1"/>
    </xf>
    <xf numFmtId="0" fontId="15" fillId="11" borderId="15" xfId="0" applyNumberFormat="1" applyFont="1" applyFill="1" applyBorder="1" applyAlignment="1">
      <alignment horizontal="center" wrapText="1"/>
    </xf>
    <xf numFmtId="0" fontId="15" fillId="11" borderId="16" xfId="0" applyNumberFormat="1" applyFont="1" applyFill="1" applyBorder="1" applyAlignment="1">
      <alignment horizontal="center" wrapText="1"/>
    </xf>
    <xf numFmtId="0" fontId="18" fillId="15" borderId="2" xfId="0" applyNumberFormat="1" applyFont="1" applyFill="1" applyBorder="1" applyAlignment="1">
      <alignment horizontal="center"/>
    </xf>
    <xf numFmtId="0" fontId="18" fillId="15" borderId="3" xfId="0" applyNumberFormat="1" applyFont="1" applyFill="1" applyBorder="1" applyAlignment="1">
      <alignment horizontal="center"/>
    </xf>
    <xf numFmtId="0" fontId="18" fillId="15" borderId="4" xfId="0" applyNumberFormat="1" applyFont="1" applyFill="1" applyBorder="1" applyAlignment="1">
      <alignment horizontal="center"/>
    </xf>
    <xf numFmtId="0" fontId="13" fillId="13" borderId="34" xfId="0" applyNumberFormat="1" applyFont="1" applyFill="1" applyBorder="1" applyAlignment="1">
      <alignment horizontal="center" vertical="center"/>
    </xf>
    <xf numFmtId="0" fontId="13" fillId="13" borderId="35" xfId="0" applyNumberFormat="1" applyFont="1" applyFill="1" applyBorder="1" applyAlignment="1">
      <alignment horizontal="center" vertical="center"/>
    </xf>
    <xf numFmtId="0" fontId="13" fillId="12" borderId="2" xfId="0" applyNumberFormat="1" applyFont="1" applyFill="1" applyBorder="1" applyAlignment="1">
      <alignment horizontal="center"/>
    </xf>
    <xf numFmtId="0" fontId="13" fillId="12" borderId="3" xfId="0" applyNumberFormat="1" applyFont="1" applyFill="1" applyBorder="1" applyAlignment="1">
      <alignment horizontal="center"/>
    </xf>
    <xf numFmtId="0" fontId="13" fillId="12" borderId="4" xfId="0" applyNumberFormat="1" applyFont="1" applyFill="1" applyBorder="1" applyAlignment="1">
      <alignment horizontal="center"/>
    </xf>
    <xf numFmtId="0" fontId="13" fillId="3" borderId="12" xfId="0" applyNumberFormat="1" applyFont="1" applyFill="1" applyBorder="1" applyAlignment="1">
      <alignment horizontal="center" vertical="center"/>
    </xf>
    <xf numFmtId="0" fontId="13" fillId="3" borderId="14" xfId="0" applyNumberFormat="1" applyFont="1" applyFill="1" applyBorder="1" applyAlignment="1">
      <alignment horizontal="center" vertical="center"/>
    </xf>
    <xf numFmtId="0" fontId="13" fillId="17" borderId="2" xfId="0" applyNumberFormat="1" applyFont="1" applyFill="1" applyBorder="1" applyAlignment="1">
      <alignment horizontal="center"/>
    </xf>
    <xf numFmtId="0" fontId="13" fillId="17" borderId="4" xfId="0" applyNumberFormat="1" applyFont="1" applyFill="1" applyBorder="1" applyAlignment="1">
      <alignment horizontal="center"/>
    </xf>
    <xf numFmtId="2" fontId="24" fillId="0" borderId="2" xfId="0" applyNumberFormat="1" applyFont="1" applyBorder="1" applyAlignment="1">
      <alignment horizontal="center" vertical="center" wrapText="1"/>
    </xf>
    <xf numFmtId="2" fontId="24" fillId="0" borderId="3" xfId="0" applyNumberFormat="1" applyFont="1" applyBorder="1" applyAlignment="1">
      <alignment horizontal="center" vertical="center" wrapText="1"/>
    </xf>
    <xf numFmtId="2" fontId="24" fillId="0" borderId="4" xfId="0" applyNumberFormat="1" applyFont="1" applyBorder="1" applyAlignment="1">
      <alignment horizontal="center" vertical="center" wrapText="1"/>
    </xf>
    <xf numFmtId="0" fontId="13" fillId="3" borderId="34" xfId="0" applyNumberFormat="1" applyFont="1" applyFill="1" applyBorder="1" applyAlignment="1">
      <alignment horizontal="center" vertical="center"/>
    </xf>
    <xf numFmtId="0" fontId="13" fillId="3" borderId="37" xfId="0" applyNumberFormat="1" applyFont="1" applyFill="1" applyBorder="1" applyAlignment="1">
      <alignment horizontal="center" vertical="center"/>
    </xf>
    <xf numFmtId="0" fontId="1" fillId="15" borderId="2" xfId="0" applyNumberFormat="1" applyFont="1" applyFill="1" applyBorder="1" applyAlignment="1">
      <alignment horizontal="center" vertical="center"/>
    </xf>
    <xf numFmtId="0" fontId="1" fillId="15" borderId="36" xfId="0" applyNumberFormat="1" applyFont="1" applyFill="1" applyBorder="1" applyAlignment="1">
      <alignment horizontal="center" vertical="center"/>
    </xf>
    <xf numFmtId="0" fontId="25" fillId="15" borderId="2" xfId="0" applyNumberFormat="1" applyFont="1" applyFill="1" applyBorder="1" applyAlignment="1">
      <alignment horizontal="center" vertical="center" wrapText="1"/>
    </xf>
    <xf numFmtId="0" fontId="25" fillId="15" borderId="36" xfId="0" applyNumberFormat="1" applyFont="1" applyFill="1" applyBorder="1" applyAlignment="1">
      <alignment horizontal="center" vertical="center" wrapText="1"/>
    </xf>
    <xf numFmtId="0" fontId="23" fillId="15" borderId="2" xfId="0" applyNumberFormat="1" applyFont="1" applyFill="1" applyBorder="1" applyAlignment="1">
      <alignment horizontal="center" vertical="center" wrapText="1"/>
    </xf>
    <xf numFmtId="0" fontId="23" fillId="15" borderId="36" xfId="0" applyNumberFormat="1" applyFont="1" applyFill="1" applyBorder="1" applyAlignment="1">
      <alignment horizontal="center" vertical="center" wrapText="1"/>
    </xf>
    <xf numFmtId="0" fontId="1" fillId="14" borderId="2" xfId="0" applyNumberFormat="1" applyFont="1" applyFill="1" applyBorder="1" applyAlignment="1">
      <alignment horizontal="center" vertical="center" wrapText="1"/>
    </xf>
    <xf numFmtId="0" fontId="1" fillId="14" borderId="65" xfId="0" applyNumberFormat="1" applyFont="1" applyFill="1" applyBorder="1" applyAlignment="1">
      <alignment horizontal="center" vertical="center" wrapText="1"/>
    </xf>
    <xf numFmtId="0" fontId="1" fillId="14" borderId="36" xfId="0" applyNumberFormat="1" applyFont="1" applyFill="1" applyBorder="1" applyAlignment="1">
      <alignment horizontal="center" vertical="center" wrapText="1"/>
    </xf>
    <xf numFmtId="4" fontId="29" fillId="14" borderId="61" xfId="0" applyNumberFormat="1" applyFont="1" applyFill="1" applyBorder="1" applyAlignment="1">
      <alignment horizontal="center" vertical="distributed"/>
    </xf>
    <xf numFmtId="4" fontId="29" fillId="14" borderId="64" xfId="0" applyNumberFormat="1" applyFont="1" applyFill="1" applyBorder="1" applyAlignment="1">
      <alignment horizontal="center" vertical="distributed"/>
    </xf>
    <xf numFmtId="4" fontId="29" fillId="14" borderId="72" xfId="0" applyNumberFormat="1" applyFont="1" applyFill="1" applyBorder="1" applyAlignment="1">
      <alignment horizontal="center" vertical="distributed"/>
    </xf>
    <xf numFmtId="4" fontId="13" fillId="14" borderId="51" xfId="0" applyNumberFormat="1" applyFont="1" applyFill="1" applyBorder="1" applyAlignment="1">
      <alignment horizontal="center" vertical="center"/>
    </xf>
    <xf numFmtId="4" fontId="13" fillId="14" borderId="71" xfId="0" applyNumberFormat="1" applyFont="1" applyFill="1" applyBorder="1" applyAlignment="1">
      <alignment horizontal="center" vertical="center"/>
    </xf>
    <xf numFmtId="165" fontId="22" fillId="12" borderId="2" xfId="0" applyNumberFormat="1" applyFont="1" applyFill="1" applyBorder="1" applyAlignment="1">
      <alignment horizontal="center" vertical="center"/>
    </xf>
    <xf numFmtId="165" fontId="22" fillId="12" borderId="36" xfId="0" applyNumberFormat="1" applyFont="1" applyFill="1" applyBorder="1" applyAlignment="1">
      <alignment horizontal="center" vertical="center"/>
    </xf>
    <xf numFmtId="4" fontId="13" fillId="14" borderId="63" xfId="0" applyNumberFormat="1" applyFont="1" applyFill="1" applyBorder="1" applyAlignment="1">
      <alignment horizontal="center" vertical="center"/>
    </xf>
    <xf numFmtId="4" fontId="13" fillId="14" borderId="70" xfId="0" applyNumberFormat="1" applyFont="1" applyFill="1" applyBorder="1" applyAlignment="1">
      <alignment horizontal="center" vertical="center"/>
    </xf>
    <xf numFmtId="4" fontId="13" fillId="14" borderId="59" xfId="0" applyNumberFormat="1" applyFont="1" applyFill="1" applyBorder="1" applyAlignment="1">
      <alignment horizontal="center" vertical="center"/>
    </xf>
    <xf numFmtId="4" fontId="13" fillId="14" borderId="68" xfId="0" applyNumberFormat="1" applyFont="1" applyFill="1" applyBorder="1" applyAlignment="1">
      <alignment horizontal="center" vertical="center"/>
    </xf>
    <xf numFmtId="0" fontId="13" fillId="14" borderId="59" xfId="0" applyNumberFormat="1" applyFont="1" applyFill="1" applyBorder="1" applyAlignment="1">
      <alignment horizontal="center" vertical="center"/>
    </xf>
    <xf numFmtId="0" fontId="13" fillId="14" borderId="68" xfId="0" applyNumberFormat="1" applyFont="1" applyFill="1" applyBorder="1" applyAlignment="1">
      <alignment horizontal="center" vertical="center"/>
    </xf>
    <xf numFmtId="0" fontId="13" fillId="14" borderId="59" xfId="0" applyNumberFormat="1" applyFont="1" applyFill="1" applyBorder="1" applyAlignment="1">
      <alignment horizontal="center" vertical="center" wrapText="1"/>
    </xf>
    <xf numFmtId="0" fontId="13" fillId="14" borderId="60" xfId="0" applyNumberFormat="1" applyFont="1" applyFill="1" applyBorder="1" applyAlignment="1">
      <alignment horizontal="center" vertical="center" wrapText="1"/>
    </xf>
    <xf numFmtId="2" fontId="13" fillId="14" borderId="59" xfId="0" applyNumberFormat="1" applyFont="1" applyFill="1" applyBorder="1" applyAlignment="1">
      <alignment horizontal="center" vertical="distributed" wrapText="1"/>
    </xf>
    <xf numFmtId="2" fontId="13" fillId="14" borderId="60" xfId="0" applyNumberFormat="1" applyFont="1" applyFill="1" applyBorder="1" applyAlignment="1">
      <alignment horizontal="center" vertical="distributed" wrapText="1"/>
    </xf>
    <xf numFmtId="0" fontId="13" fillId="14" borderId="62" xfId="0" applyNumberFormat="1" applyFont="1" applyFill="1" applyBorder="1" applyAlignment="1">
      <alignment horizontal="center" vertical="center"/>
    </xf>
    <xf numFmtId="0" fontId="13" fillId="14" borderId="67" xfId="0" applyNumberFormat="1" applyFont="1" applyFill="1" applyBorder="1" applyAlignment="1">
      <alignment horizontal="center" vertical="center"/>
    </xf>
    <xf numFmtId="4" fontId="13" fillId="14" borderId="57" xfId="0" applyNumberFormat="1" applyFont="1" applyFill="1" applyBorder="1" applyAlignment="1">
      <alignment horizontal="center" vertical="center"/>
    </xf>
    <xf numFmtId="4" fontId="13" fillId="14" borderId="66" xfId="0" applyNumberFormat="1" applyFont="1" applyFill="1" applyBorder="1" applyAlignment="1">
      <alignment horizontal="center" vertical="center"/>
    </xf>
    <xf numFmtId="4" fontId="1" fillId="12" borderId="73" xfId="0" applyNumberFormat="1" applyFont="1" applyFill="1" applyBorder="1" applyAlignment="1">
      <alignment horizontal="center" vertical="center"/>
    </xf>
    <xf numFmtId="4" fontId="1" fillId="12" borderId="74" xfId="0" applyNumberFormat="1" applyFont="1" applyFill="1" applyBorder="1" applyAlignment="1">
      <alignment horizontal="center" vertical="center"/>
    </xf>
    <xf numFmtId="4" fontId="1" fillId="12" borderId="0" xfId="0" applyNumberFormat="1" applyFont="1" applyFill="1" applyAlignment="1">
      <alignment horizontal="center" vertical="center"/>
    </xf>
    <xf numFmtId="4" fontId="1" fillId="12" borderId="77" xfId="0" applyNumberFormat="1" applyFont="1" applyFill="1" applyBorder="1" applyAlignment="1">
      <alignment horizontal="center" vertical="center"/>
    </xf>
    <xf numFmtId="4" fontId="1" fillId="12" borderId="79" xfId="0" applyNumberFormat="1" applyFont="1" applyFill="1" applyBorder="1" applyAlignment="1">
      <alignment horizontal="center" vertical="center"/>
    </xf>
    <xf numFmtId="4" fontId="1" fillId="12" borderId="59" xfId="0" applyNumberFormat="1" applyFont="1" applyFill="1" applyBorder="1" applyAlignment="1">
      <alignment horizontal="center"/>
    </xf>
    <xf numFmtId="4" fontId="1" fillId="12" borderId="76" xfId="0" applyNumberFormat="1" applyFont="1" applyFill="1" applyBorder="1" applyAlignment="1">
      <alignment horizontal="center"/>
    </xf>
    <xf numFmtId="4" fontId="1" fillId="12" borderId="78" xfId="0" applyNumberFormat="1" applyFont="1" applyFill="1" applyBorder="1" applyAlignment="1">
      <alignment horizontal="center"/>
    </xf>
    <xf numFmtId="4" fontId="1" fillId="12" borderId="77" xfId="0" applyNumberFormat="1" applyFont="1" applyFill="1" applyBorder="1" applyAlignment="1">
      <alignment horizontal="center"/>
    </xf>
    <xf numFmtId="4" fontId="1" fillId="12" borderId="80" xfId="0" applyNumberFormat="1" applyFont="1" applyFill="1" applyBorder="1" applyAlignment="1">
      <alignment horizontal="center"/>
    </xf>
    <xf numFmtId="4" fontId="1" fillId="12" borderId="8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>
            <a:defPPr/>
            <a:lvl1pPr lvl="0"/>
            <a:lvl2pPr lvl="1"/>
            <a:lvl3pPr lvl="2"/>
            <a:lvl4pPr lvl="3"/>
            <a:lvl5pPr lvl="4"/>
            <a:lvl6pPr lvl="5"/>
            <a:lvl7pPr lvl="6"/>
            <a:lvl8pPr lvl="7"/>
            <a:lvl9pPr lvl="8"/>
          </a:lstStyle>
          <a:p>
            <a:r>
              <a:rPr lang="ru-RU"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масса пара от объемного процента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.194091326825889"/>
          <c:y val="6.0681475488249301E-2"/>
          <c:w val="0.78745624026503702"/>
          <c:h val="0.800995476444891"/>
        </c:manualLayout>
      </c:layout>
      <c:lineChart>
        <c:grouping val="standard"/>
        <c:varyColors val="0"/>
        <c:ser>
          <c:idx val="1"/>
          <c:order val="0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'генер. спирт. пара'!$C$4:$C$23</c:f>
              <c:numCache>
                <c:formatCode>0.0</c:formatCode>
                <c:ptCount val="20"/>
                <c:pt idx="0">
                  <c:v>97</c:v>
                </c:pt>
                <c:pt idx="1">
                  <c:v>92.406487202680481</c:v>
                </c:pt>
                <c:pt idx="2">
                  <c:v>90.047311788435152</c:v>
                </c:pt>
                <c:pt idx="3">
                  <c:v>88.147853971936598</c:v>
                </c:pt>
                <c:pt idx="4">
                  <c:v>86.623269736151428</c:v>
                </c:pt>
                <c:pt idx="5">
                  <c:v>85.388411258005334</c:v>
                </c:pt>
                <c:pt idx="6">
                  <c:v>84.357742688393557</c:v>
                </c:pt>
                <c:pt idx="7">
                  <c:v>83.445216643308569</c:v>
                </c:pt>
                <c:pt idx="8">
                  <c:v>82.5640776125108</c:v>
                </c:pt>
                <c:pt idx="9">
                  <c:v>81.626512943299815</c:v>
                </c:pt>
                <c:pt idx="10">
                  <c:v>80.542951349080056</c:v>
                </c:pt>
                <c:pt idx="11">
                  <c:v>79.220478890794155</c:v>
                </c:pt>
                <c:pt idx="12">
                  <c:v>77.558920550822819</c:v>
                </c:pt>
                <c:pt idx="13">
                  <c:v>75.440518840805481</c:v>
                </c:pt>
                <c:pt idx="14">
                  <c:v>72.701612204926079</c:v>
                </c:pt>
                <c:pt idx="15">
                  <c:v>69.052764433738901</c:v>
                </c:pt>
                <c:pt idx="16">
                  <c:v>63.848789255907363</c:v>
                </c:pt>
                <c:pt idx="17">
                  <c:v>55.413316209586611</c:v>
                </c:pt>
                <c:pt idx="18">
                  <c:v>39.001395052684863</c:v>
                </c:pt>
                <c:pt idx="19">
                  <c:v>0</c:v>
                </c:pt>
              </c:numCache>
            </c:numRef>
          </c:cat>
          <c:val>
            <c:numRef>
              <c:f>'генер. спирт. пара'!$F$4:$F$23</c:f>
              <c:numCache>
                <c:formatCode>0.000</c:formatCode>
                <c:ptCount val="20"/>
                <c:pt idx="0">
                  <c:v>3.9800541510122884</c:v>
                </c:pt>
                <c:pt idx="1">
                  <c:v>3.6248942351758053</c:v>
                </c:pt>
                <c:pt idx="2">
                  <c:v>3.4711474908486109</c:v>
                </c:pt>
                <c:pt idx="3">
                  <c:v>3.3587949635925192</c:v>
                </c:pt>
                <c:pt idx="4">
                  <c:v>3.2751025186271558</c:v>
                </c:pt>
                <c:pt idx="5">
                  <c:v>3.2111458116605314</c:v>
                </c:pt>
                <c:pt idx="6">
                  <c:v>3.1601907163078624</c:v>
                </c:pt>
                <c:pt idx="7">
                  <c:v>3.1168035395184877</c:v>
                </c:pt>
                <c:pt idx="8">
                  <c:v>3.0763638268801055</c:v>
                </c:pt>
                <c:pt idx="9">
                  <c:v>3.0348227314114147</c:v>
                </c:pt>
                <c:pt idx="10">
                  <c:v>2.9886207032727286</c:v>
                </c:pt>
                <c:pt idx="11">
                  <c:v>2.9346980487555969</c:v>
                </c:pt>
                <c:pt idx="12">
                  <c:v>2.8705151423229762</c:v>
                </c:pt>
                <c:pt idx="13">
                  <c:v>2.7939402937498099</c:v>
                </c:pt>
                <c:pt idx="14">
                  <c:v>2.702732233529372</c:v>
                </c:pt>
                <c:pt idx="15">
                  <c:v>2.5930745155931243</c:v>
                </c:pt>
                <c:pt idx="16">
                  <c:v>2.4561757400238724</c:v>
                </c:pt>
                <c:pt idx="17">
                  <c:v>2.2719768999991903</c:v>
                </c:pt>
                <c:pt idx="18">
                  <c:v>2.0031986795836674</c:v>
                </c:pt>
                <c:pt idx="19">
                  <c:v>1.5944024856998362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D4B-4149-BAFC-3933A55C98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valAx>
        <c:axId val="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>
                <a:defPPr/>
                <a:lvl1pPr lvl="0"/>
                <a:lvl2pPr lvl="1"/>
                <a:lvl3pPr lvl="2"/>
                <a:lvl4pPr lvl="3"/>
                <a:lvl5pPr lvl="4"/>
                <a:lvl6pPr lvl="5"/>
                <a:lvl7pPr lvl="6"/>
                <a:lvl8pPr lvl="7"/>
                <a:lvl9pPr lvl="8"/>
              </a:lstStyle>
              <a:p>
                <a:r>
                  <a:rPr lang="ru-RU"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Масса пара (кг.час) на 1 квт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  <c:crossAx val="1"/>
        <c:crosses val="autoZero"/>
        <c:crossBetween val="between"/>
      </c:valAx>
      <c:cat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ot"/>
            </a:ln>
          </c:spPr>
        </c:majorGridlines>
        <c:title>
          <c:tx>
            <c:rich>
              <a:bodyPr/>
              <a:lstStyle>
                <a:defPPr/>
                <a:lvl1pPr lvl="0"/>
                <a:lvl2pPr lvl="1"/>
                <a:lvl3pPr lvl="2"/>
                <a:lvl4pPr lvl="3"/>
                <a:lvl5pPr lvl="4"/>
                <a:lvl6pPr lvl="5"/>
                <a:lvl7pPr lvl="6"/>
                <a:lvl8pPr lvl="7"/>
                <a:lvl9pPr lvl="8"/>
              </a:lstStyle>
              <a:p>
                <a:r>
                  <a:rPr lang="ru-RU"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Объемный процент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  <c:crossAx val="2"/>
        <c:crosses val="autoZero"/>
        <c:auto val="0"/>
        <c:lblAlgn val="ctr"/>
        <c:lblOffset val="100"/>
        <c:noMultiLvlLbl val="0"/>
      </c:cat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2424441345661704E-2"/>
          <c:y val="0.92478568644091996"/>
          <c:w val="0.134939684364666"/>
          <c:h val="5.825421646871940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ru-RU"/>
        </a:p>
      </c:txPr>
    </c:legend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>
            <a:defPPr/>
            <a:lvl1pPr lvl="0"/>
            <a:lvl2pPr lvl="1"/>
            <a:lvl3pPr lvl="2"/>
            <a:lvl4pPr lvl="3"/>
            <a:lvl5pPr lvl="4"/>
            <a:lvl6pPr lvl="5"/>
            <a:lvl7pPr lvl="6"/>
            <a:lvl8pPr lvl="7"/>
            <a:lvl9pPr lvl="8"/>
          </a:lstStyle>
          <a:p>
            <a:r>
              <a:rPr lang="ru-RU"/>
              <a:t>объём пара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8.8280579578031801E-2"/>
          <c:y val="0.118935691956969"/>
          <c:w val="0.89004190886048395"/>
          <c:h val="0.71118689272228197"/>
        </c:manualLayout>
      </c:layout>
      <c:lineChart>
        <c:grouping val="standard"/>
        <c:varyColors val="0"/>
        <c:ser>
          <c:idx val="0"/>
          <c:order val="0"/>
          <c:tx>
            <c:strRef>
              <c:f>'генер. спирт. пара'!$H$3</c:f>
              <c:strCache>
                <c:ptCount val="1"/>
                <c:pt idx="0">
                  <c:v>литр /ч</c:v>
                </c:pt>
              </c:strCache>
            </c:strRef>
          </c:tx>
          <c:spPr>
            <a:ln>
              <a:solidFill>
                <a:schemeClr val="accent1"/>
              </a:solidFill>
              <a:prstDash val="solid"/>
            </a:ln>
          </c:spPr>
          <c:marker>
            <c:symbol val="diamond"/>
            <c:size val="5"/>
          </c:marker>
          <c:val>
            <c:numRef>
              <c:f>'генер. спирт. пара'!$H$4:$H$23</c:f>
              <c:numCache>
                <c:formatCode>0.00</c:formatCode>
                <c:ptCount val="20"/>
                <c:pt idx="0">
                  <c:v>2607.8460249942937</c:v>
                </c:pt>
                <c:pt idx="1">
                  <c:v>2544.1257238281714</c:v>
                </c:pt>
                <c:pt idx="2">
                  <c:v>2519.89137245341</c:v>
                </c:pt>
                <c:pt idx="3">
                  <c:v>2503.9457546787012</c:v>
                </c:pt>
                <c:pt idx="4">
                  <c:v>2493.4842822831934</c:v>
                </c:pt>
                <c:pt idx="5">
                  <c:v>2486.7037496334297</c:v>
                </c:pt>
                <c:pt idx="6">
                  <c:v>2482.3662712109126</c:v>
                </c:pt>
                <c:pt idx="7">
                  <c:v>2479.5694707660364</c:v>
                </c:pt>
                <c:pt idx="8">
                  <c:v>2477.6320222835175</c:v>
                </c:pt>
                <c:pt idx="9">
                  <c:v>2476.0510989963209</c:v>
                </c:pt>
                <c:pt idx="10">
                  <c:v>2474.5087447555288</c:v>
                </c:pt>
                <c:pt idx="11">
                  <c:v>2472.9118194580356</c:v>
                </c:pt>
                <c:pt idx="12">
                  <c:v>2471.4516208967002</c:v>
                </c:pt>
                <c:pt idx="13">
                  <c:v>2470.6708153570717</c:v>
                </c:pt>
                <c:pt idx="14">
                  <c:v>2471.5412592890434</c:v>
                </c:pt>
                <c:pt idx="15">
                  <c:v>2475.6353419274596</c:v>
                </c:pt>
                <c:pt idx="16">
                  <c:v>2485.8048361042315</c:v>
                </c:pt>
                <c:pt idx="17">
                  <c:v>2509.1000610973251</c:v>
                </c:pt>
                <c:pt idx="18">
                  <c:v>2567.7099613166283</c:v>
                </c:pt>
                <c:pt idx="19">
                  <c:v>2709.7237585825264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64-4CA5-BD7E-1B33CC57CDB0}"/>
            </c:ext>
          </c:extLst>
        </c:ser>
        <c:ser>
          <c:idx val="1"/>
          <c:order val="1"/>
          <c:tx>
            <c:strRef>
              <c:f>'генер. спирт. пара'!$H$2</c:f>
              <c:strCache>
                <c:ptCount val="1"/>
                <c:pt idx="0">
                  <c:v>объём пара</c:v>
                </c:pt>
              </c:strCache>
            </c:strRef>
          </c:tx>
          <c:spPr>
            <a:ln>
              <a:solidFill>
                <a:schemeClr val="accent2"/>
              </a:solidFill>
              <a:prstDash val="solid"/>
            </a:ln>
          </c:spPr>
          <c:marker>
            <c:symbol val="square"/>
            <c:size val="5"/>
          </c:marker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764-4CA5-BD7E-1B33CC57CD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valAx>
        <c:axId val="4"/>
        <c:scaling>
          <c:orientation val="minMax"/>
        </c:scaling>
        <c:delete val="0"/>
        <c:axPos val="l"/>
        <c:majorGridlines/>
        <c:numFmt formatCode="0.00" sourceLinked="1"/>
        <c:majorTickMark val="none"/>
        <c:minorTickMark val="none"/>
        <c:tickLblPos val="nextTo"/>
        <c:spPr>
          <a:ln w="9525">
            <a:noFill/>
          </a:ln>
        </c:spPr>
        <c:crossAx val="3"/>
        <c:crosses val="autoZero"/>
        <c:crossBetween val="between"/>
      </c:valAx>
      <c:catAx>
        <c:axId val="3"/>
        <c:scaling>
          <c:orientation val="minMax"/>
        </c:scaling>
        <c:delete val="0"/>
        <c:axPos val="b"/>
        <c:majorTickMark val="none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spPr>
        <a:noFill/>
      </c:spPr>
    </c:plotArea>
    <c:legend>
      <c:legendPos val="r"/>
      <c:layout>
        <c:manualLayout>
          <c:xMode val="edge"/>
          <c:yMode val="edge"/>
          <c:x val="7.2361130801665398E-3"/>
          <c:y val="2.66998492148297E-2"/>
          <c:w val="0.13459170329109801"/>
          <c:h val="4.8545180390599497E-2"/>
        </c:manualLayout>
      </c:layout>
      <c:overlay val="0"/>
    </c:legend>
    <c:plotVisOnly val="0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title>
    <c:autoTitleDeleted val="0"/>
    <c:plotArea>
      <c:layout>
        <c:manualLayout>
          <c:xMode val="edge"/>
          <c:yMode val="edge"/>
          <c:x val="0.13125000000000001"/>
          <c:y val="0.107925801011804"/>
          <c:w val="0.79374999999999996"/>
          <c:h val="0.72681281618886995"/>
        </c:manualLayout>
      </c:layout>
      <c:lineChart>
        <c:grouping val="standard"/>
        <c:varyColors val="0"/>
        <c:ser>
          <c:idx val="0"/>
          <c:order val="0"/>
          <c:tx>
            <c:v>Отбор 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'расчёт ФЧ по Т куба'!$K$4:$K$14</c:f>
              <c:numCache>
                <c:formatCode>#,##0.00</c:formatCode>
                <c:ptCount val="11"/>
                <c:pt idx="0">
                  <c:v>83.064999999999998</c:v>
                </c:pt>
                <c:pt idx="1">
                  <c:v>83.759</c:v>
                </c:pt>
                <c:pt idx="2">
                  <c:v>84.433999999999997</c:v>
                </c:pt>
                <c:pt idx="3">
                  <c:v>85.159000000000006</c:v>
                </c:pt>
                <c:pt idx="4">
                  <c:v>86.135000000000005</c:v>
                </c:pt>
                <c:pt idx="5">
                  <c:v>87.224000000000004</c:v>
                </c:pt>
                <c:pt idx="6">
                  <c:v>88.555999999999997</c:v>
                </c:pt>
                <c:pt idx="7">
                  <c:v>90.762</c:v>
                </c:pt>
                <c:pt idx="8">
                  <c:v>92.929000000000002</c:v>
                </c:pt>
                <c:pt idx="9">
                  <c:v>96.156000000000006</c:v>
                </c:pt>
                <c:pt idx="10">
                  <c:v>99.346000000000004</c:v>
                </c:pt>
              </c:numCache>
            </c:numRef>
          </c:cat>
          <c:val>
            <c:numRef>
              <c:f>'генер. спирт. пара'!$M$13:$M$23</c:f>
              <c:numCache>
                <c:formatCode>0.00</c:formatCode>
                <c:ptCount val="11"/>
                <c:pt idx="0">
                  <c:v>0.94043591632744794</c:v>
                </c:pt>
                <c:pt idx="1">
                  <c:v>0.98615371994330769</c:v>
                </c:pt>
                <c:pt idx="2">
                  <c:v>0.92121890052874544</c:v>
                </c:pt>
                <c:pt idx="3">
                  <c:v>0.89095538606927138</c:v>
                </c:pt>
                <c:pt idx="4">
                  <c:v>0.84664836904381802</c:v>
                </c:pt>
                <c:pt idx="5">
                  <c:v>0.78765864788019002</c:v>
                </c:pt>
                <c:pt idx="6">
                  <c:v>0.71251531291719705</c:v>
                </c:pt>
                <c:pt idx="7">
                  <c:v>0.61567965205583586</c:v>
                </c:pt>
                <c:pt idx="8">
                  <c:v>0.480665879507442</c:v>
                </c:pt>
                <c:pt idx="9">
                  <c:v>0.286973079257278</c:v>
                </c:pt>
                <c:pt idx="10">
                  <c:v>5.5763889103974527E-2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EB-479B-BC14-C21D91E6A1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"/>
        <c:axId val="6"/>
      </c:lineChart>
      <c:valAx>
        <c:axId val="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>
                <a:defPPr/>
                <a:lvl1pPr lvl="0"/>
                <a:lvl2pPr lvl="1"/>
                <a:lvl3pPr lvl="2"/>
                <a:lvl4pPr lvl="3"/>
                <a:lvl5pPr lvl="4"/>
                <a:lvl6pPr lvl="5"/>
                <a:lvl7pPr lvl="6"/>
                <a:lvl8pPr lvl="7"/>
                <a:lvl9pPr lvl="8"/>
              </a:lstStyle>
              <a:p>
                <a:r>
                  <a:rPr lang="ru-RU"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rPr>
                  <a:t>Отбор (л/ч)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5"/>
        <c:crosses val="autoZero"/>
        <c:crossBetween val="between"/>
      </c:valAx>
      <c:catAx>
        <c:axId val="5"/>
        <c:scaling>
          <c:orientation val="minMax"/>
        </c:scaling>
        <c:delete val="0"/>
        <c:axPos val="b"/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>
                <a:defPPr/>
                <a:lvl1pPr lvl="0"/>
                <a:lvl2pPr lvl="1"/>
                <a:lvl3pPr lvl="2"/>
                <a:lvl4pPr lvl="3"/>
                <a:lvl5pPr lvl="4"/>
                <a:lvl6pPr lvl="5"/>
                <a:lvl7pPr lvl="6"/>
                <a:lvl8pPr lvl="7"/>
                <a:lvl9pPr lvl="8"/>
              </a:lstStyle>
              <a:p>
                <a:r>
                  <a:rPr lang="ru-RU"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rPr>
                  <a:t>температура куба с поправками на давление Ркуб. и  Ратм. </a:t>
                </a:r>
              </a:p>
              <a:p>
                <a:endParaRPr lang="ru-RU" sz="800" b="1" i="0" u="none" strike="noStrike" baseline="0">
                  <a:solidFill>
                    <a:srgbClr val="000000"/>
                  </a:solidFill>
                  <a:latin typeface="Arial Cyr"/>
                  <a:ea typeface="Arial Cyr"/>
                  <a:cs typeface="Arial Cyr"/>
                </a:endParaRP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6"/>
        <c:crosses val="autoZero"/>
        <c:auto val="0"/>
        <c:lblAlgn val="ctr"/>
        <c:lblOffset val="100"/>
        <c:noMultiLvlLbl val="0"/>
      </c:cat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770833333333302"/>
          <c:y val="0.47723440134907302"/>
          <c:w val="7.6041666666666702E-2"/>
          <c:h val="3.372681281618890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0"/>
    <c:dispBlanksAs val="zero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42269" y="4907915"/>
    <xdr:ext cx="5594537" cy="40005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5636806" y="4907915"/>
    <xdr:ext cx="6993191" cy="4000500"/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17264062" cy="7293260"/>
    <xdr:graphicFrame macro="">
      <xdr:nvGraphicFramePr>
        <xdr:cNvPr id="3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sources/directory/97990837d4a2403a86b2c11a9ced5835.ExcelAutomationServiceFrontend.WorkingDir/NoAVScans/c8b6e20e-8dc6-41a6-9b03-a8efc6b6925f/in/&#1075;&#1086;&#1083;&#1086;&#1092;&#1088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"/>
  <sheetViews>
    <sheetView workbookViewId="0"/>
  </sheetViews>
  <sheetFormatPr defaultColWidth="10" defaultRowHeight="14.4" x14ac:dyDescent="0.3"/>
  <cols>
    <col min="1" max="1" width="13.6640625" customWidth="1"/>
    <col min="2" max="2" width="13" customWidth="1"/>
    <col min="3" max="3" width="12" customWidth="1"/>
    <col min="4" max="4" width="6" style="1" customWidth="1"/>
    <col min="5" max="5" width="14.5546875" customWidth="1"/>
    <col min="6" max="6" width="5.88671875" customWidth="1"/>
    <col min="7" max="7" width="7.6640625" customWidth="1"/>
    <col min="8" max="8" width="8.77734375" customWidth="1"/>
    <col min="9" max="9" width="8.21875" customWidth="1"/>
    <col min="10" max="10" width="2.77734375" customWidth="1"/>
    <col min="11" max="11" width="3.77734375" customWidth="1"/>
    <col min="14" max="14" width="11.44140625" customWidth="1"/>
    <col min="16" max="16" width="13.5546875" customWidth="1"/>
  </cols>
  <sheetData>
    <row r="1" spans="1:19" ht="40.200000000000003" customHeight="1" x14ac:dyDescent="0.3">
      <c r="A1" s="2" t="s">
        <v>0</v>
      </c>
      <c r="B1" s="3" t="s">
        <v>1</v>
      </c>
      <c r="C1" s="4" t="s">
        <v>2</v>
      </c>
      <c r="D1" s="5"/>
      <c r="E1" s="4" t="s">
        <v>3</v>
      </c>
      <c r="G1" s="163" t="s">
        <v>4</v>
      </c>
      <c r="H1" s="164"/>
      <c r="I1" s="165"/>
    </row>
    <row r="2" spans="1:19" ht="19.8" customHeight="1" x14ac:dyDescent="0.3">
      <c r="A2" s="6">
        <v>2.2000000000000002</v>
      </c>
      <c r="B2" s="7">
        <v>220</v>
      </c>
      <c r="C2" s="8">
        <v>1</v>
      </c>
      <c r="D2" s="9"/>
      <c r="E2" s="10">
        <v>220</v>
      </c>
      <c r="G2" s="166">
        <f>D12</f>
        <v>22</v>
      </c>
      <c r="H2" s="167"/>
      <c r="I2" s="168"/>
      <c r="L2" s="172" t="s">
        <v>5</v>
      </c>
      <c r="M2" s="173"/>
      <c r="N2" s="174"/>
      <c r="Q2" s="178" t="s">
        <v>6</v>
      </c>
      <c r="R2" s="179"/>
      <c r="S2" s="180"/>
    </row>
    <row r="3" spans="1:19" ht="26.4" customHeight="1" x14ac:dyDescent="0.3">
      <c r="A3" s="159"/>
      <c r="B3" s="159"/>
      <c r="C3" s="159"/>
      <c r="D3" s="159"/>
      <c r="E3" s="159"/>
      <c r="G3" s="12"/>
      <c r="H3" s="12"/>
      <c r="I3" s="12"/>
      <c r="L3" s="175"/>
      <c r="M3" s="176"/>
      <c r="N3" s="177"/>
      <c r="Q3" s="181"/>
      <c r="R3" s="182"/>
      <c r="S3" s="183"/>
    </row>
    <row r="4" spans="1:19" ht="19.05" customHeight="1" x14ac:dyDescent="0.3">
      <c r="A4" s="160" t="s">
        <v>7</v>
      </c>
      <c r="B4" s="161"/>
      <c r="C4" s="162"/>
      <c r="D4" s="11"/>
      <c r="E4" s="11"/>
      <c r="G4" s="169" t="s">
        <v>8</v>
      </c>
      <c r="H4" s="170"/>
      <c r="I4" s="171"/>
      <c r="K4" s="13"/>
      <c r="L4" s="187">
        <v>1</v>
      </c>
      <c r="M4" s="188"/>
      <c r="N4" s="189"/>
      <c r="Q4" s="184">
        <v>0</v>
      </c>
      <c r="R4" s="185"/>
      <c r="S4" s="186"/>
    </row>
    <row r="5" spans="1:19" ht="104.25" customHeight="1" x14ac:dyDescent="0.3">
      <c r="A5" s="14" t="s">
        <v>0</v>
      </c>
      <c r="B5" s="15" t="s">
        <v>9</v>
      </c>
      <c r="C5" s="16" t="s">
        <v>10</v>
      </c>
      <c r="D5" s="17"/>
      <c r="G5" s="18" t="s">
        <v>11</v>
      </c>
      <c r="H5" s="19" t="s">
        <v>12</v>
      </c>
      <c r="I5" s="20" t="s">
        <v>13</v>
      </c>
      <c r="L5" s="193" t="s">
        <v>14</v>
      </c>
      <c r="M5" s="194"/>
      <c r="N5" s="195"/>
      <c r="Q5" s="190" t="s">
        <v>15</v>
      </c>
      <c r="R5" s="191"/>
      <c r="S5" s="192"/>
    </row>
    <row r="6" spans="1:19" ht="15.6" x14ac:dyDescent="0.3">
      <c r="A6" s="21">
        <f t="shared" ref="A6:A18" si="0">Мощ.тэна</f>
        <v>2.2000000000000002</v>
      </c>
      <c r="B6" s="21">
        <f t="shared" ref="B6:B11" si="1">B7+шаг</f>
        <v>226</v>
      </c>
      <c r="C6" s="22">
        <f t="shared" ref="C6:C18" si="2">POWER(B6/B$2, 2)*A6</f>
        <v>2.3216363636363644</v>
      </c>
      <c r="D6" s="23" t="s">
        <v>16</v>
      </c>
      <c r="E6" s="24"/>
      <c r="F6" s="23" t="s">
        <v>16</v>
      </c>
      <c r="G6" s="25">
        <f t="shared" ref="G6:G11" si="3">G7+шаг</f>
        <v>226</v>
      </c>
      <c r="H6" s="25">
        <f t="shared" ref="H6:H18" si="4">Ом</f>
        <v>22</v>
      </c>
      <c r="I6" s="26">
        <f t="shared" ref="I6:I18" si="5">G6*G6/(H6+H6*(G6/10000))/1000</f>
        <v>2.2703269740234342</v>
      </c>
    </row>
    <row r="7" spans="1:19" ht="15.6" x14ac:dyDescent="0.3">
      <c r="A7" s="27">
        <f t="shared" si="0"/>
        <v>2.2000000000000002</v>
      </c>
      <c r="B7" s="27">
        <f t="shared" si="1"/>
        <v>225</v>
      </c>
      <c r="C7" s="28">
        <f t="shared" si="2"/>
        <v>2.3011363636363638</v>
      </c>
      <c r="D7" s="23" t="s">
        <v>16</v>
      </c>
      <c r="E7" s="24"/>
      <c r="F7" s="23" t="s">
        <v>16</v>
      </c>
      <c r="G7" s="29">
        <f t="shared" si="3"/>
        <v>225</v>
      </c>
      <c r="H7" s="29">
        <f t="shared" si="4"/>
        <v>22</v>
      </c>
      <c r="I7" s="30">
        <f t="shared" si="5"/>
        <v>2.2505001111358078</v>
      </c>
    </row>
    <row r="8" spans="1:19" ht="15.6" x14ac:dyDescent="0.3">
      <c r="A8" s="21">
        <f t="shared" si="0"/>
        <v>2.2000000000000002</v>
      </c>
      <c r="B8" s="21">
        <f t="shared" si="1"/>
        <v>224</v>
      </c>
      <c r="C8" s="22">
        <f t="shared" si="2"/>
        <v>2.280727272727272</v>
      </c>
      <c r="D8" s="23" t="s">
        <v>16</v>
      </c>
      <c r="E8" s="24"/>
      <c r="F8" s="23" t="s">
        <v>16</v>
      </c>
      <c r="G8" s="25">
        <f t="shared" si="3"/>
        <v>224</v>
      </c>
      <c r="H8" s="25">
        <f t="shared" si="4"/>
        <v>22</v>
      </c>
      <c r="I8" s="26">
        <f t="shared" si="5"/>
        <v>2.230758287096315</v>
      </c>
      <c r="N8" s="153" t="s">
        <v>17</v>
      </c>
      <c r="O8" s="154"/>
      <c r="P8" s="155"/>
    </row>
    <row r="9" spans="1:19" ht="15.6" x14ac:dyDescent="0.3">
      <c r="A9" s="27">
        <f t="shared" si="0"/>
        <v>2.2000000000000002</v>
      </c>
      <c r="B9" s="27">
        <f t="shared" si="1"/>
        <v>223</v>
      </c>
      <c r="C9" s="28">
        <f t="shared" si="2"/>
        <v>2.260409090909091</v>
      </c>
      <c r="D9" s="23" t="s">
        <v>16</v>
      </c>
      <c r="E9" s="24"/>
      <c r="F9" s="23" t="s">
        <v>16</v>
      </c>
      <c r="G9" s="29">
        <f t="shared" si="3"/>
        <v>223</v>
      </c>
      <c r="H9" s="29">
        <f t="shared" si="4"/>
        <v>22</v>
      </c>
      <c r="I9" s="30">
        <f t="shared" si="5"/>
        <v>2.2111015268601104</v>
      </c>
      <c r="N9" s="156"/>
      <c r="O9" s="157"/>
      <c r="P9" s="158"/>
    </row>
    <row r="10" spans="1:19" ht="15.6" x14ac:dyDescent="0.3">
      <c r="A10" s="21">
        <f t="shared" si="0"/>
        <v>2.2000000000000002</v>
      </c>
      <c r="B10" s="21">
        <f t="shared" si="1"/>
        <v>222</v>
      </c>
      <c r="C10" s="22">
        <f t="shared" si="2"/>
        <v>2.2401818181818185</v>
      </c>
      <c r="D10" s="23" t="s">
        <v>16</v>
      </c>
      <c r="E10" s="24"/>
      <c r="F10" s="23" t="s">
        <v>16</v>
      </c>
      <c r="G10" s="25">
        <f t="shared" si="3"/>
        <v>222</v>
      </c>
      <c r="H10" s="25">
        <f t="shared" si="4"/>
        <v>22</v>
      </c>
      <c r="I10" s="26">
        <f t="shared" si="5"/>
        <v>2.1915298553921132</v>
      </c>
      <c r="N10" s="151" t="s">
        <v>18</v>
      </c>
      <c r="O10" s="147" t="s">
        <v>19</v>
      </c>
      <c r="P10" s="148"/>
    </row>
    <row r="11" spans="1:19" ht="15.6" x14ac:dyDescent="0.3">
      <c r="A11" s="27">
        <f t="shared" si="0"/>
        <v>2.2000000000000002</v>
      </c>
      <c r="B11" s="27">
        <f t="shared" si="1"/>
        <v>221</v>
      </c>
      <c r="C11" s="28">
        <f t="shared" si="2"/>
        <v>2.2200454545454553</v>
      </c>
      <c r="D11" s="23" t="s">
        <v>16</v>
      </c>
      <c r="E11" s="24"/>
      <c r="F11" s="23" t="s">
        <v>16</v>
      </c>
      <c r="G11" s="29">
        <f t="shared" si="3"/>
        <v>221</v>
      </c>
      <c r="H11" s="29">
        <f t="shared" si="4"/>
        <v>22</v>
      </c>
      <c r="I11" s="30">
        <f t="shared" si="5"/>
        <v>2.1720432976670137</v>
      </c>
      <c r="N11" s="152"/>
      <c r="O11" s="149"/>
      <c r="P11" s="150"/>
    </row>
    <row r="12" spans="1:19" ht="18" x14ac:dyDescent="0.35">
      <c r="A12" s="31">
        <f t="shared" si="0"/>
        <v>2.2000000000000002</v>
      </c>
      <c r="B12" s="32">
        <f>вольт</f>
        <v>220</v>
      </c>
      <c r="C12" s="33">
        <f t="shared" si="2"/>
        <v>2.2000000000000002</v>
      </c>
      <c r="D12" s="34">
        <f>B2*B2/Мощ.тэна/1000</f>
        <v>22</v>
      </c>
      <c r="E12" s="35" t="s">
        <v>20</v>
      </c>
      <c r="F12" s="24"/>
      <c r="G12" s="36">
        <f>вольт</f>
        <v>220</v>
      </c>
      <c r="H12" s="37">
        <f t="shared" si="4"/>
        <v>22</v>
      </c>
      <c r="I12" s="38">
        <f t="shared" si="5"/>
        <v>2.1526418786692756</v>
      </c>
      <c r="N12" s="39" t="s">
        <v>21</v>
      </c>
      <c r="O12" s="145">
        <v>50</v>
      </c>
      <c r="P12" s="146"/>
    </row>
    <row r="13" spans="1:19" ht="18" x14ac:dyDescent="0.3">
      <c r="A13" s="27">
        <f t="shared" si="0"/>
        <v>2.2000000000000002</v>
      </c>
      <c r="B13" s="27">
        <f t="shared" ref="B13:B18" si="6">B12-шаг</f>
        <v>219</v>
      </c>
      <c r="C13" s="28">
        <f t="shared" si="2"/>
        <v>2.1800454545454548</v>
      </c>
      <c r="D13" s="23" t="s">
        <v>22</v>
      </c>
      <c r="E13" s="23"/>
      <c r="F13" s="23" t="s">
        <v>22</v>
      </c>
      <c r="G13" s="29">
        <f t="shared" ref="G13:G18" si="7">G12-шаг</f>
        <v>219</v>
      </c>
      <c r="H13" s="29">
        <f t="shared" si="4"/>
        <v>22</v>
      </c>
      <c r="I13" s="30">
        <f t="shared" si="5"/>
        <v>2.1333256233931448</v>
      </c>
      <c r="N13" s="40">
        <f>Реал_Мощность*1.6/O15/(O12/100)/0.7893</f>
        <v>3.3785210524093081</v>
      </c>
      <c r="O13" s="141" t="s">
        <v>23</v>
      </c>
      <c r="P13" s="142"/>
    </row>
    <row r="14" spans="1:19" ht="15.6" x14ac:dyDescent="0.3">
      <c r="A14" s="21">
        <f t="shared" si="0"/>
        <v>2.2000000000000002</v>
      </c>
      <c r="B14" s="21">
        <f t="shared" si="6"/>
        <v>218</v>
      </c>
      <c r="C14" s="22">
        <f t="shared" si="2"/>
        <v>2.1601818181818184</v>
      </c>
      <c r="D14" s="23" t="s">
        <v>22</v>
      </c>
      <c r="E14" s="23"/>
      <c r="F14" s="23" t="s">
        <v>22</v>
      </c>
      <c r="G14" s="25">
        <f t="shared" si="7"/>
        <v>218</v>
      </c>
      <c r="H14" s="25">
        <f t="shared" si="4"/>
        <v>22</v>
      </c>
      <c r="I14" s="26">
        <f t="shared" si="5"/>
        <v>2.1140945568426481</v>
      </c>
      <c r="N14" s="41"/>
      <c r="O14" s="143"/>
      <c r="P14" s="144"/>
    </row>
    <row r="15" spans="1:19" ht="15.6" x14ac:dyDescent="0.3">
      <c r="A15" s="27">
        <f t="shared" si="0"/>
        <v>2.2000000000000002</v>
      </c>
      <c r="B15" s="27">
        <f t="shared" si="6"/>
        <v>217</v>
      </c>
      <c r="C15" s="28">
        <f t="shared" si="2"/>
        <v>2.1404090909090909</v>
      </c>
      <c r="D15" s="23" t="s">
        <v>22</v>
      </c>
      <c r="E15" s="24"/>
      <c r="F15" s="23" t="s">
        <v>22</v>
      </c>
      <c r="G15" s="29">
        <f t="shared" si="7"/>
        <v>217</v>
      </c>
      <c r="H15" s="29">
        <f t="shared" si="4"/>
        <v>22</v>
      </c>
      <c r="I15" s="30">
        <f t="shared" si="5"/>
        <v>2.0949487040316055</v>
      </c>
      <c r="N15" s="42"/>
      <c r="O15" s="139">
        <v>1.2</v>
      </c>
      <c r="P15" s="140"/>
    </row>
    <row r="16" spans="1:19" ht="15.6" x14ac:dyDescent="0.3">
      <c r="A16" s="21">
        <f t="shared" si="0"/>
        <v>2.2000000000000002</v>
      </c>
      <c r="B16" s="21">
        <f t="shared" si="6"/>
        <v>216</v>
      </c>
      <c r="C16" s="22">
        <f t="shared" si="2"/>
        <v>2.1207272727272728</v>
      </c>
      <c r="D16" s="23" t="s">
        <v>22</v>
      </c>
      <c r="E16" s="24"/>
      <c r="F16" s="23" t="s">
        <v>22</v>
      </c>
      <c r="G16" s="25">
        <f t="shared" si="7"/>
        <v>216</v>
      </c>
      <c r="H16" s="25">
        <f t="shared" si="4"/>
        <v>22</v>
      </c>
      <c r="I16" s="26">
        <f t="shared" si="5"/>
        <v>2.0758880899836263</v>
      </c>
    </row>
    <row r="17" spans="1:14" ht="15.6" x14ac:dyDescent="0.3">
      <c r="A17" s="27">
        <f t="shared" si="0"/>
        <v>2.2000000000000002</v>
      </c>
      <c r="B17" s="27">
        <f t="shared" si="6"/>
        <v>215</v>
      </c>
      <c r="C17" s="28">
        <f t="shared" si="2"/>
        <v>2.101136363636364</v>
      </c>
      <c r="D17" s="23" t="s">
        <v>22</v>
      </c>
      <c r="E17" s="24"/>
      <c r="F17" s="23" t="s">
        <v>22</v>
      </c>
      <c r="G17" s="29">
        <f t="shared" si="7"/>
        <v>215</v>
      </c>
      <c r="H17" s="29">
        <f t="shared" si="4"/>
        <v>22</v>
      </c>
      <c r="I17" s="30">
        <f t="shared" si="5"/>
        <v>2.0569127397321232</v>
      </c>
      <c r="N17" s="43" t="s">
        <v>24</v>
      </c>
    </row>
    <row r="18" spans="1:14" ht="15.6" x14ac:dyDescent="0.3">
      <c r="A18" s="21">
        <f t="shared" si="0"/>
        <v>2.2000000000000002</v>
      </c>
      <c r="B18" s="21">
        <f t="shared" si="6"/>
        <v>214</v>
      </c>
      <c r="C18" s="22">
        <f t="shared" si="2"/>
        <v>2.0816363636363642</v>
      </c>
      <c r="D18" s="23" t="s">
        <v>22</v>
      </c>
      <c r="E18" s="24"/>
      <c r="F18" s="23" t="s">
        <v>22</v>
      </c>
      <c r="G18" s="25">
        <f t="shared" si="7"/>
        <v>214</v>
      </c>
      <c r="H18" s="25">
        <f t="shared" si="4"/>
        <v>22</v>
      </c>
      <c r="I18" s="26">
        <f t="shared" si="5"/>
        <v>2.038022678320309</v>
      </c>
      <c r="N18" s="43" t="s">
        <v>25</v>
      </c>
    </row>
  </sheetData>
  <mergeCells count="17">
    <mergeCell ref="Q2:S3"/>
    <mergeCell ref="Q4:S4"/>
    <mergeCell ref="L4:N4"/>
    <mergeCell ref="Q5:S5"/>
    <mergeCell ref="L5:N5"/>
    <mergeCell ref="N8:P9"/>
    <mergeCell ref="A3:E3"/>
    <mergeCell ref="A4:C4"/>
    <mergeCell ref="G1:I1"/>
    <mergeCell ref="G2:I2"/>
    <mergeCell ref="G4:I4"/>
    <mergeCell ref="L2:N3"/>
    <mergeCell ref="O15:P15"/>
    <mergeCell ref="O13:P14"/>
    <mergeCell ref="O12:P12"/>
    <mergeCell ref="O10:P11"/>
    <mergeCell ref="N10:N11"/>
  </mergeCells>
  <pageMargins left="0.70000004768371604" right="0.70000004768371604" top="0.75" bottom="0.75" header="0.30000001192092901" footer="0.3000000119209290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tabSelected="1" workbookViewId="0">
      <selection activeCell="I15" sqref="I15"/>
    </sheetView>
  </sheetViews>
  <sheetFormatPr defaultColWidth="10" defaultRowHeight="14.4" x14ac:dyDescent="0.3"/>
  <cols>
    <col min="1" max="1" width="10.21875" customWidth="1"/>
    <col min="2" max="2" width="13.6640625" customWidth="1"/>
    <col min="3" max="3" width="14.21875" customWidth="1"/>
    <col min="4" max="4" width="9.44140625" customWidth="1"/>
    <col min="5" max="5" width="10.77734375" customWidth="1"/>
    <col min="6" max="6" width="10.33203125" customWidth="1"/>
    <col min="8" max="8" width="11.33203125" customWidth="1"/>
    <col min="9" max="10" width="10.21875" customWidth="1"/>
    <col min="12" max="12" width="8.44140625" style="44" customWidth="1"/>
    <col min="13" max="13" width="26.109375" customWidth="1"/>
    <col min="14" max="14" width="10.21875" hidden="1" customWidth="1"/>
    <col min="15" max="15" width="9.109375" hidden="1" customWidth="1"/>
    <col min="16" max="16" width="23.44140625" customWidth="1"/>
    <col min="17" max="17" width="13.33203125" customWidth="1"/>
  </cols>
  <sheetData>
    <row r="1" spans="1:17" ht="29.4" customHeight="1" x14ac:dyDescent="0.3">
      <c r="A1" s="208" t="s">
        <v>26</v>
      </c>
      <c r="B1" s="209"/>
      <c r="C1" s="209"/>
      <c r="D1" s="209"/>
      <c r="E1" s="209"/>
      <c r="F1" s="209"/>
      <c r="G1" s="209"/>
      <c r="H1" s="209"/>
      <c r="I1" s="209"/>
      <c r="J1" s="209"/>
      <c r="K1" s="210"/>
      <c r="L1" s="196"/>
      <c r="M1" s="197"/>
      <c r="N1" s="197"/>
      <c r="O1" s="197"/>
      <c r="P1" s="198"/>
      <c r="Q1" s="45"/>
    </row>
    <row r="2" spans="1:17" ht="33" customHeight="1" x14ac:dyDescent="0.3">
      <c r="A2" s="213" t="s">
        <v>27</v>
      </c>
      <c r="B2" s="217" t="s">
        <v>28</v>
      </c>
      <c r="C2" s="215" t="s">
        <v>29</v>
      </c>
      <c r="D2" s="46" t="s">
        <v>30</v>
      </c>
      <c r="E2" s="211" t="s">
        <v>31</v>
      </c>
      <c r="F2" s="206" t="s">
        <v>32</v>
      </c>
      <c r="G2" s="207"/>
      <c r="H2" s="47" t="s">
        <v>33</v>
      </c>
      <c r="I2" s="201" t="s">
        <v>34</v>
      </c>
      <c r="J2" s="202"/>
      <c r="K2" s="203"/>
      <c r="L2" s="204" t="s">
        <v>35</v>
      </c>
      <c r="M2" s="205"/>
      <c r="N2" s="199" t="s">
        <v>36</v>
      </c>
      <c r="O2" s="200"/>
      <c r="P2" s="48" t="s">
        <v>37</v>
      </c>
      <c r="Q2" s="44"/>
    </row>
    <row r="3" spans="1:17" ht="15" customHeight="1" x14ac:dyDescent="0.3">
      <c r="A3" s="214"/>
      <c r="B3" s="218"/>
      <c r="C3" s="216"/>
      <c r="D3" s="49"/>
      <c r="E3" s="212"/>
      <c r="F3" s="50" t="s">
        <v>38</v>
      </c>
      <c r="G3" s="51" t="s">
        <v>39</v>
      </c>
      <c r="H3" s="52" t="s">
        <v>40</v>
      </c>
      <c r="I3" s="53" t="s">
        <v>21</v>
      </c>
      <c r="J3" s="54" t="s">
        <v>41</v>
      </c>
      <c r="K3" s="55" t="s">
        <v>42</v>
      </c>
      <c r="L3" s="56" t="s">
        <v>43</v>
      </c>
      <c r="M3" s="57" t="s">
        <v>44</v>
      </c>
      <c r="N3" s="58" t="s">
        <v>44</v>
      </c>
      <c r="O3" s="59" t="s">
        <v>43</v>
      </c>
      <c r="P3" s="60"/>
    </row>
    <row r="4" spans="1:17" ht="15.6" x14ac:dyDescent="0.3">
      <c r="A4" s="61">
        <f t="shared" ref="A4:A23" si="0">Реал_Мощность</f>
        <v>1</v>
      </c>
      <c r="B4" s="62">
        <v>97</v>
      </c>
      <c r="C4" s="63">
        <v>97</v>
      </c>
      <c r="D4" s="64">
        <f t="shared" ref="D4:D23" si="1">99.88772-0.93136*B4+0.02395*B4*B4-0.000365956*B4^3+0.00000293273*B4^4-0.00000000960988*B4^5</f>
        <v>78.002358490190815</v>
      </c>
      <c r="E4" s="65">
        <f t="shared" ref="E4:E23" si="2">(-0.13412+0.83749*C4-0.00116*C4*C4+0.0000276728*C4*C4*C4)/100</f>
        <v>0.95444187394400004</v>
      </c>
      <c r="F4" s="66">
        <f t="shared" ref="F4:F23" si="3">A4*3600/(E4*840+(1-E4)*2256)</f>
        <v>3.9800541510122884</v>
      </c>
      <c r="G4" s="67">
        <f t="shared" ref="G4:G23" si="4">F4/3.6</f>
        <v>1.1055705975034134</v>
      </c>
      <c r="H4" s="68">
        <f t="shared" ref="H4:H23" si="5">((1-C4/100)*F4*1000/18+C4/100*F4*1000/46)*(22.4/273.15*(273.15+D4))</f>
        <v>2607.8460249942937</v>
      </c>
      <c r="I4" s="69">
        <f t="shared" ref="I4:I23" si="6">F4/100*C4/0.7893+F4/100*(100-C4)</f>
        <v>5.010637563313999</v>
      </c>
      <c r="J4" s="70">
        <f t="shared" ref="J4:J23" si="7">I4/60</f>
        <v>8.3510626055233322E-2</v>
      </c>
      <c r="K4" s="71">
        <f t="shared" ref="K4:K23" si="8">I4/3.6</f>
        <v>1.3918437675872219</v>
      </c>
      <c r="L4" s="72"/>
      <c r="M4" s="73"/>
      <c r="N4" s="74">
        <v>1</v>
      </c>
      <c r="O4" s="75">
        <f t="shared" ref="O4:O23" si="9">(I4-N4)/N4+1</f>
        <v>5.010637563313999</v>
      </c>
      <c r="P4" s="76"/>
      <c r="Q4" s="77"/>
    </row>
    <row r="5" spans="1:17" ht="15.6" x14ac:dyDescent="0.3">
      <c r="A5" s="78">
        <f t="shared" si="0"/>
        <v>1</v>
      </c>
      <c r="B5" s="79">
        <v>90</v>
      </c>
      <c r="C5" s="80">
        <f t="shared" ref="C5:C23" si="10">1.04749494522173*B5-0.018725730342732*B5*B5+0.00011082005414225*B5*B5*B5+43.670453012901*(1-EXP(-0.246196276366746*B5^0.966659341971092))*EXP(0.0638669100921283*B5^0.437695537197651)</f>
        <v>92.406487202680481</v>
      </c>
      <c r="D5" s="81">
        <f t="shared" si="1"/>
        <v>78.949430887999966</v>
      </c>
      <c r="E5" s="82">
        <f t="shared" si="2"/>
        <v>0.89185563248075794</v>
      </c>
      <c r="F5" s="83">
        <f t="shared" si="3"/>
        <v>3.6248942351758053</v>
      </c>
      <c r="G5" s="84">
        <f t="shared" si="4"/>
        <v>1.0069150653266126</v>
      </c>
      <c r="H5" s="85">
        <f t="shared" si="5"/>
        <v>2544.1257238281714</v>
      </c>
      <c r="I5" s="86">
        <f t="shared" si="6"/>
        <v>4.5190645202161548</v>
      </c>
      <c r="J5" s="70">
        <f t="shared" si="7"/>
        <v>7.5317742003602584E-2</v>
      </c>
      <c r="K5" s="87">
        <f t="shared" si="8"/>
        <v>1.2552957000600429</v>
      </c>
      <c r="L5" s="88"/>
      <c r="M5" s="89"/>
      <c r="N5" s="90">
        <v>1</v>
      </c>
      <c r="O5" s="75">
        <f t="shared" si="9"/>
        <v>4.5190645202161548</v>
      </c>
      <c r="P5" s="76"/>
      <c r="Q5" s="77"/>
    </row>
    <row r="6" spans="1:17" ht="15.6" x14ac:dyDescent="0.3">
      <c r="A6" s="61">
        <f t="shared" si="0"/>
        <v>1</v>
      </c>
      <c r="B6" s="62">
        <v>85</v>
      </c>
      <c r="C6" s="63">
        <f t="shared" si="10"/>
        <v>90.047311788435152</v>
      </c>
      <c r="D6" s="64">
        <f t="shared" si="1"/>
        <v>79.468932371374933</v>
      </c>
      <c r="E6" s="65">
        <f t="shared" si="2"/>
        <v>0.86079024545960225</v>
      </c>
      <c r="F6" s="66">
        <f t="shared" si="3"/>
        <v>3.4711474908486109</v>
      </c>
      <c r="G6" s="67">
        <f t="shared" si="4"/>
        <v>0.96420763634683637</v>
      </c>
      <c r="H6" s="68">
        <f t="shared" si="5"/>
        <v>2519.89137245341</v>
      </c>
      <c r="I6" s="69">
        <f t="shared" si="6"/>
        <v>4.3055320382754347</v>
      </c>
      <c r="J6" s="70">
        <f t="shared" si="7"/>
        <v>7.1758867304590579E-2</v>
      </c>
      <c r="K6" s="71">
        <f t="shared" si="8"/>
        <v>1.1959811217431764</v>
      </c>
      <c r="L6" s="72"/>
      <c r="M6" s="73"/>
      <c r="N6" s="74">
        <v>1</v>
      </c>
      <c r="O6" s="75">
        <f t="shared" si="9"/>
        <v>4.3055320382754347</v>
      </c>
      <c r="P6" s="76"/>
      <c r="Q6" s="77"/>
    </row>
    <row r="7" spans="1:17" ht="15.6" x14ac:dyDescent="0.3">
      <c r="A7" s="78">
        <f t="shared" si="0"/>
        <v>1</v>
      </c>
      <c r="B7" s="79">
        <v>80</v>
      </c>
      <c r="C7" s="80">
        <f t="shared" si="10"/>
        <v>88.147853971936598</v>
      </c>
      <c r="D7" s="81">
        <f t="shared" si="1"/>
        <v>79.924414016000014</v>
      </c>
      <c r="E7" s="82">
        <f t="shared" si="2"/>
        <v>0.83629027659048172</v>
      </c>
      <c r="F7" s="83">
        <f t="shared" si="3"/>
        <v>3.3587949635925192</v>
      </c>
      <c r="G7" s="84">
        <f t="shared" si="4"/>
        <v>0.93299860099792198</v>
      </c>
      <c r="H7" s="85">
        <f t="shared" si="5"/>
        <v>2503.9457546787012</v>
      </c>
      <c r="I7" s="86">
        <f t="shared" si="6"/>
        <v>4.1491417097193519</v>
      </c>
      <c r="J7" s="70">
        <f t="shared" si="7"/>
        <v>6.9152361828655862E-2</v>
      </c>
      <c r="K7" s="87">
        <f t="shared" si="8"/>
        <v>1.1525393638109311</v>
      </c>
      <c r="L7" s="88"/>
      <c r="M7" s="89"/>
      <c r="N7" s="90">
        <v>1</v>
      </c>
      <c r="O7" s="75">
        <f t="shared" si="9"/>
        <v>4.1491417097193519</v>
      </c>
      <c r="P7" s="76"/>
      <c r="Q7" s="77"/>
    </row>
    <row r="8" spans="1:17" ht="15.6" x14ac:dyDescent="0.3">
      <c r="A8" s="61">
        <f t="shared" si="0"/>
        <v>1</v>
      </c>
      <c r="B8" s="62">
        <v>75</v>
      </c>
      <c r="C8" s="63">
        <f t="shared" si="10"/>
        <v>86.623269736151428</v>
      </c>
      <c r="D8" s="64">
        <f t="shared" si="1"/>
        <v>80.355496953124998</v>
      </c>
      <c r="E8" s="65">
        <f t="shared" si="2"/>
        <v>0.81694757594855683</v>
      </c>
      <c r="F8" s="66">
        <f t="shared" si="3"/>
        <v>3.2751025186271558</v>
      </c>
      <c r="G8" s="67">
        <f t="shared" si="4"/>
        <v>0.9097506996186544</v>
      </c>
      <c r="H8" s="68">
        <f t="shared" si="5"/>
        <v>2493.4842822831934</v>
      </c>
      <c r="I8" s="69">
        <f t="shared" si="6"/>
        <v>4.0324268405324251</v>
      </c>
      <c r="J8" s="70">
        <f t="shared" si="7"/>
        <v>6.7207114008873747E-2</v>
      </c>
      <c r="K8" s="71">
        <f t="shared" si="8"/>
        <v>1.1201185668145626</v>
      </c>
      <c r="L8" s="72"/>
      <c r="M8" s="73"/>
      <c r="N8" s="74">
        <v>1</v>
      </c>
      <c r="O8" s="75">
        <f t="shared" si="9"/>
        <v>4.0324268405324251</v>
      </c>
      <c r="P8" s="76"/>
      <c r="Q8" s="77"/>
    </row>
    <row r="9" spans="1:17" ht="15.6" x14ac:dyDescent="0.3">
      <c r="A9" s="78">
        <f t="shared" si="0"/>
        <v>1</v>
      </c>
      <c r="B9" s="79">
        <v>70</v>
      </c>
      <c r="C9" s="80">
        <f t="shared" si="10"/>
        <v>85.388411258005334</v>
      </c>
      <c r="D9" s="81">
        <f t="shared" si="1"/>
        <v>80.788133983999984</v>
      </c>
      <c r="E9" s="82">
        <f t="shared" si="2"/>
        <v>0.80148647497603676</v>
      </c>
      <c r="F9" s="83">
        <f t="shared" si="3"/>
        <v>3.2111458116605314</v>
      </c>
      <c r="G9" s="84">
        <f t="shared" si="4"/>
        <v>0.89198494768348091</v>
      </c>
      <c r="H9" s="85">
        <f t="shared" si="5"/>
        <v>2486.7037496334297</v>
      </c>
      <c r="I9" s="86">
        <f t="shared" si="6"/>
        <v>3.9430957733262586</v>
      </c>
      <c r="J9" s="70">
        <f t="shared" si="7"/>
        <v>6.5718262888770973E-2</v>
      </c>
      <c r="K9" s="87">
        <f t="shared" si="8"/>
        <v>1.0953043814795163</v>
      </c>
      <c r="L9" s="88"/>
      <c r="M9" s="89"/>
      <c r="N9" s="90">
        <v>1</v>
      </c>
      <c r="O9" s="75">
        <f t="shared" si="9"/>
        <v>3.9430957733262586</v>
      </c>
      <c r="P9" s="76"/>
      <c r="Q9" s="77"/>
    </row>
    <row r="10" spans="1:17" ht="15.6" x14ac:dyDescent="0.3">
      <c r="A10" s="61">
        <f t="shared" si="0"/>
        <v>1</v>
      </c>
      <c r="B10" s="62">
        <v>65</v>
      </c>
      <c r="C10" s="63">
        <f t="shared" si="10"/>
        <v>84.357742688393557</v>
      </c>
      <c r="D10" s="64">
        <f t="shared" si="1"/>
        <v>81.238213284875002</v>
      </c>
      <c r="E10" s="65">
        <f t="shared" si="2"/>
        <v>0.78872051299588497</v>
      </c>
      <c r="F10" s="66">
        <f t="shared" si="3"/>
        <v>3.1601907163078624</v>
      </c>
      <c r="G10" s="67">
        <f t="shared" si="4"/>
        <v>0.87783075452996173</v>
      </c>
      <c r="H10" s="68">
        <f t="shared" si="5"/>
        <v>2482.3662712109126</v>
      </c>
      <c r="I10" s="69">
        <f t="shared" si="6"/>
        <v>3.8718312484267021</v>
      </c>
      <c r="J10" s="70">
        <f t="shared" si="7"/>
        <v>6.4530520807111705E-2</v>
      </c>
      <c r="K10" s="71">
        <f t="shared" si="8"/>
        <v>1.0755086801185283</v>
      </c>
      <c r="L10" s="72"/>
      <c r="M10" s="73"/>
      <c r="N10" s="74">
        <v>1</v>
      </c>
      <c r="O10" s="75">
        <f t="shared" si="9"/>
        <v>3.8718312484267021</v>
      </c>
      <c r="P10" s="76"/>
      <c r="Q10" s="77"/>
    </row>
    <row r="11" spans="1:17" ht="15.6" x14ac:dyDescent="0.3">
      <c r="A11" s="78">
        <f t="shared" si="0"/>
        <v>1</v>
      </c>
      <c r="B11" s="79">
        <v>60</v>
      </c>
      <c r="C11" s="80">
        <f t="shared" si="10"/>
        <v>83.445216643308569</v>
      </c>
      <c r="D11" s="81">
        <f t="shared" si="1"/>
        <v>81.715162111999987</v>
      </c>
      <c r="E11" s="82">
        <f t="shared" si="2"/>
        <v>0.77752154721746491</v>
      </c>
      <c r="F11" s="83">
        <f t="shared" si="3"/>
        <v>3.1168035395184877</v>
      </c>
      <c r="G11" s="84">
        <f t="shared" si="4"/>
        <v>0.86577876097735762</v>
      </c>
      <c r="H11" s="85">
        <f t="shared" si="5"/>
        <v>2479.5694707660364</v>
      </c>
      <c r="I11" s="86">
        <f t="shared" si="6"/>
        <v>3.811081386046558</v>
      </c>
      <c r="J11" s="70">
        <f t="shared" si="7"/>
        <v>6.3518023100775964E-2</v>
      </c>
      <c r="K11" s="87">
        <f t="shared" si="8"/>
        <v>1.0586337183462662</v>
      </c>
      <c r="L11" s="88"/>
      <c r="M11" s="89"/>
      <c r="N11" s="90">
        <v>1</v>
      </c>
      <c r="O11" s="75">
        <f t="shared" si="9"/>
        <v>3.811081386046558</v>
      </c>
      <c r="P11" s="76"/>
      <c r="Q11" s="77"/>
    </row>
    <row r="12" spans="1:17" ht="15.6" x14ac:dyDescent="0.3">
      <c r="A12" s="61">
        <f t="shared" si="0"/>
        <v>1</v>
      </c>
      <c r="B12" s="62">
        <v>55</v>
      </c>
      <c r="C12" s="63">
        <f t="shared" si="10"/>
        <v>82.5640776125108</v>
      </c>
      <c r="D12" s="64">
        <f t="shared" si="1"/>
        <v>82.225550506624998</v>
      </c>
      <c r="E12" s="65">
        <f t="shared" si="2"/>
        <v>0.76679894527739156</v>
      </c>
      <c r="F12" s="66">
        <f t="shared" si="3"/>
        <v>3.0763638268801055</v>
      </c>
      <c r="G12" s="67">
        <f t="shared" si="4"/>
        <v>0.85454550746669589</v>
      </c>
      <c r="H12" s="68">
        <f t="shared" si="5"/>
        <v>2477.6320222835175</v>
      </c>
      <c r="I12" s="69">
        <f t="shared" si="6"/>
        <v>3.7543974993782081</v>
      </c>
      <c r="J12" s="70">
        <f t="shared" si="7"/>
        <v>6.2573291656303473E-2</v>
      </c>
      <c r="K12" s="71">
        <f t="shared" si="8"/>
        <v>1.0428881942717245</v>
      </c>
      <c r="L12" s="91"/>
      <c r="M12" s="92"/>
      <c r="N12" s="74">
        <v>1</v>
      </c>
      <c r="O12" s="75">
        <f t="shared" si="9"/>
        <v>3.7543974993782081</v>
      </c>
      <c r="P12" s="76"/>
      <c r="Q12" s="77"/>
    </row>
    <row r="13" spans="1:17" ht="15.6" x14ac:dyDescent="0.3">
      <c r="A13" s="78">
        <f t="shared" si="0"/>
        <v>1</v>
      </c>
      <c r="B13" s="79">
        <v>50</v>
      </c>
      <c r="C13" s="80">
        <f t="shared" si="10"/>
        <v>81.626512943299815</v>
      </c>
      <c r="D13" s="81">
        <f t="shared" si="1"/>
        <v>82.776694999999989</v>
      </c>
      <c r="E13" s="82">
        <f t="shared" si="2"/>
        <v>0.7554867688995216</v>
      </c>
      <c r="F13" s="83">
        <f t="shared" si="3"/>
        <v>3.0348227314114147</v>
      </c>
      <c r="G13" s="84">
        <f t="shared" si="4"/>
        <v>0.84300631428094852</v>
      </c>
      <c r="H13" s="85">
        <f t="shared" si="5"/>
        <v>2476.0510989963209</v>
      </c>
      <c r="I13" s="86">
        <f t="shared" si="6"/>
        <v>3.6961051938562761</v>
      </c>
      <c r="J13" s="70">
        <f t="shared" si="7"/>
        <v>6.1601753230937938E-2</v>
      </c>
      <c r="K13" s="87">
        <f t="shared" si="8"/>
        <v>1.0266958871822989</v>
      </c>
      <c r="L13" s="93">
        <f t="shared" ref="L13:L23" si="11">P13</f>
        <v>3.9302042060347455</v>
      </c>
      <c r="M13" s="94">
        <f t="shared" ref="M13:M23" si="12">I13/L13</f>
        <v>0.94043591632744794</v>
      </c>
      <c r="N13" s="95">
        <f t="shared" ref="N13:N23" si="13">M13</f>
        <v>0.94043591632744794</v>
      </c>
      <c r="O13" s="75">
        <f t="shared" si="9"/>
        <v>3.9302042060347455</v>
      </c>
      <c r="P13" s="96">
        <f>'расчёт ФЧ по Т куба'!N4</f>
        <v>3.9302042060347455</v>
      </c>
      <c r="Q13" s="77"/>
    </row>
    <row r="14" spans="1:17" ht="15.6" x14ac:dyDescent="0.3">
      <c r="A14" s="61">
        <f t="shared" si="0"/>
        <v>1</v>
      </c>
      <c r="B14" s="62">
        <v>45</v>
      </c>
      <c r="C14" s="63">
        <f t="shared" si="10"/>
        <v>80.542951349080056</v>
      </c>
      <c r="D14" s="64">
        <f t="shared" si="1"/>
        <v>83.380262318374989</v>
      </c>
      <c r="E14" s="65">
        <f t="shared" si="2"/>
        <v>0.74253598195779402</v>
      </c>
      <c r="F14" s="66">
        <f t="shared" si="3"/>
        <v>2.9886207032727286</v>
      </c>
      <c r="G14" s="67">
        <f t="shared" si="4"/>
        <v>0.83017241757575788</v>
      </c>
      <c r="H14" s="68">
        <f t="shared" si="5"/>
        <v>2474.5087447555288</v>
      </c>
      <c r="I14" s="69">
        <f t="shared" si="6"/>
        <v>3.6311911876549456</v>
      </c>
      <c r="J14" s="70">
        <f t="shared" si="7"/>
        <v>6.0519853127582429E-2</v>
      </c>
      <c r="K14" s="71">
        <f t="shared" si="8"/>
        <v>1.0086642187930404</v>
      </c>
      <c r="L14" s="97">
        <f t="shared" si="11"/>
        <v>3.6821756225425957</v>
      </c>
      <c r="M14" s="94">
        <f t="shared" si="12"/>
        <v>0.98615371994330769</v>
      </c>
      <c r="N14" s="98">
        <f t="shared" si="13"/>
        <v>0.98615371994330769</v>
      </c>
      <c r="O14" s="75">
        <f t="shared" si="9"/>
        <v>3.6821756225425957</v>
      </c>
      <c r="P14" s="96">
        <f>'расчёт ФЧ по Т куба'!N5</f>
        <v>3.6821756225425957</v>
      </c>
      <c r="Q14" s="77"/>
    </row>
    <row r="15" spans="1:17" ht="15.6" x14ac:dyDescent="0.3">
      <c r="A15" s="78">
        <f t="shared" si="0"/>
        <v>1</v>
      </c>
      <c r="B15" s="79">
        <v>40</v>
      </c>
      <c r="C15" s="80">
        <f t="shared" si="10"/>
        <v>79.220478890794155</v>
      </c>
      <c r="D15" s="81">
        <f t="shared" si="1"/>
        <v>84.055873088000013</v>
      </c>
      <c r="E15" s="82">
        <f t="shared" si="2"/>
        <v>0.72690535900275011</v>
      </c>
      <c r="F15" s="83">
        <f t="shared" si="3"/>
        <v>2.9346980487555969</v>
      </c>
      <c r="G15" s="84">
        <f t="shared" si="4"/>
        <v>0.81519390243211021</v>
      </c>
      <c r="H15" s="85">
        <f t="shared" si="5"/>
        <v>2472.9118194580356</v>
      </c>
      <c r="I15" s="86">
        <f t="shared" si="6"/>
        <v>3.5553145512522155</v>
      </c>
      <c r="J15" s="70">
        <f t="shared" si="7"/>
        <v>5.9255242520870256E-2</v>
      </c>
      <c r="K15" s="87">
        <f t="shared" si="8"/>
        <v>0.98758737534783758</v>
      </c>
      <c r="L15" s="93">
        <f t="shared" si="11"/>
        <v>3.8593591047812814</v>
      </c>
      <c r="M15" s="94">
        <f t="shared" si="12"/>
        <v>0.92121890052874544</v>
      </c>
      <c r="N15" s="95">
        <f t="shared" si="13"/>
        <v>0.92121890052874544</v>
      </c>
      <c r="O15" s="75">
        <f t="shared" si="9"/>
        <v>3.8593591047812814</v>
      </c>
      <c r="P15" s="96">
        <f>'расчёт ФЧ по Т куба'!N6</f>
        <v>3.8593591047812814</v>
      </c>
      <c r="Q15" s="77"/>
    </row>
    <row r="16" spans="1:17" ht="15.6" x14ac:dyDescent="0.3">
      <c r="A16" s="61">
        <f t="shared" si="0"/>
        <v>1</v>
      </c>
      <c r="B16" s="62">
        <v>35</v>
      </c>
      <c r="C16" s="63">
        <f t="shared" si="10"/>
        <v>77.558920550822819</v>
      </c>
      <c r="D16" s="64">
        <f t="shared" si="1"/>
        <v>84.834705540125</v>
      </c>
      <c r="E16" s="65">
        <f t="shared" si="2"/>
        <v>0.70753510295307942</v>
      </c>
      <c r="F16" s="66">
        <f t="shared" si="3"/>
        <v>2.8705151423229762</v>
      </c>
      <c r="G16" s="67">
        <f t="shared" si="4"/>
        <v>0.79736531731193783</v>
      </c>
      <c r="H16" s="68">
        <f t="shared" si="5"/>
        <v>2471.4516208967002</v>
      </c>
      <c r="I16" s="69">
        <f t="shared" si="6"/>
        <v>3.4648265013804993</v>
      </c>
      <c r="J16" s="70">
        <f t="shared" si="7"/>
        <v>5.7747108356341656E-2</v>
      </c>
      <c r="K16" s="71">
        <f t="shared" si="8"/>
        <v>0.96245180593902757</v>
      </c>
      <c r="L16" s="97">
        <f t="shared" si="11"/>
        <v>3.8888888888888884</v>
      </c>
      <c r="M16" s="94">
        <f t="shared" si="12"/>
        <v>0.89095538606927138</v>
      </c>
      <c r="N16" s="98">
        <f t="shared" si="13"/>
        <v>0.89095538606927138</v>
      </c>
      <c r="O16" s="75">
        <f t="shared" si="9"/>
        <v>3.888888888888888</v>
      </c>
      <c r="P16" s="96">
        <f>'расчёт ФЧ по Т куба'!N7</f>
        <v>3.8888888888888884</v>
      </c>
      <c r="Q16" s="77"/>
    </row>
    <row r="17" spans="1:18" ht="15.6" x14ac:dyDescent="0.3">
      <c r="A17" s="78">
        <f t="shared" si="0"/>
        <v>1</v>
      </c>
      <c r="B17" s="79">
        <v>30</v>
      </c>
      <c r="C17" s="80">
        <f t="shared" si="10"/>
        <v>75.440518840805481</v>
      </c>
      <c r="D17" s="81">
        <f t="shared" si="1"/>
        <v>85.763099215999986</v>
      </c>
      <c r="E17" s="82">
        <f t="shared" si="2"/>
        <v>0.68326070704554909</v>
      </c>
      <c r="F17" s="83">
        <f t="shared" si="3"/>
        <v>2.7939402937498099</v>
      </c>
      <c r="G17" s="84">
        <f t="shared" si="4"/>
        <v>0.77609452604161389</v>
      </c>
      <c r="H17" s="85">
        <f t="shared" si="5"/>
        <v>2470.6708153570717</v>
      </c>
      <c r="I17" s="86">
        <f t="shared" si="6"/>
        <v>3.3565979339577194</v>
      </c>
      <c r="J17" s="70">
        <f t="shared" si="7"/>
        <v>5.5943298899295321E-2</v>
      </c>
      <c r="K17" s="87">
        <f t="shared" si="8"/>
        <v>0.93238831498825536</v>
      </c>
      <c r="L17" s="93">
        <f t="shared" si="11"/>
        <v>3.9645714285714284</v>
      </c>
      <c r="M17" s="94">
        <f t="shared" si="12"/>
        <v>0.84664836904381802</v>
      </c>
      <c r="N17" s="95">
        <f t="shared" si="13"/>
        <v>0.84664836904381802</v>
      </c>
      <c r="O17" s="75">
        <f t="shared" si="9"/>
        <v>3.964571428571428</v>
      </c>
      <c r="P17" s="96">
        <f>'расчёт ФЧ по Т куба'!N8</f>
        <v>3.9645714285714284</v>
      </c>
      <c r="Q17" s="77"/>
    </row>
    <row r="18" spans="1:18" ht="15.6" x14ac:dyDescent="0.3">
      <c r="A18" s="61">
        <f t="shared" si="0"/>
        <v>1</v>
      </c>
      <c r="B18" s="62">
        <v>25</v>
      </c>
      <c r="C18" s="63">
        <f t="shared" si="10"/>
        <v>72.701612204926079</v>
      </c>
      <c r="D18" s="64">
        <f t="shared" si="1"/>
        <v>86.906158671875005</v>
      </c>
      <c r="E18" s="65">
        <f t="shared" si="2"/>
        <v>0.6525526509983014</v>
      </c>
      <c r="F18" s="66">
        <f t="shared" si="3"/>
        <v>2.702732233529372</v>
      </c>
      <c r="G18" s="67">
        <f t="shared" si="4"/>
        <v>0.75075895375815882</v>
      </c>
      <c r="H18" s="68">
        <f t="shared" si="5"/>
        <v>2471.5412592890434</v>
      </c>
      <c r="I18" s="69">
        <f t="shared" si="6"/>
        <v>3.2272612231155158</v>
      </c>
      <c r="J18" s="70">
        <f t="shared" si="7"/>
        <v>5.3787687051925263E-2</v>
      </c>
      <c r="K18" s="71">
        <f t="shared" si="8"/>
        <v>0.89646145086542106</v>
      </c>
      <c r="L18" s="97">
        <f t="shared" si="11"/>
        <v>4.0972840605520924</v>
      </c>
      <c r="M18" s="94">
        <f t="shared" si="12"/>
        <v>0.78765864788019002</v>
      </c>
      <c r="N18" s="98">
        <f t="shared" si="13"/>
        <v>0.78765864788019002</v>
      </c>
      <c r="O18" s="75">
        <f t="shared" si="9"/>
        <v>4.0972840605520933</v>
      </c>
      <c r="P18" s="96">
        <f>'расчёт ФЧ по Т куба'!N9</f>
        <v>4.0972840605520924</v>
      </c>
      <c r="Q18" s="77"/>
      <c r="R18" s="99"/>
    </row>
    <row r="19" spans="1:18" ht="15.6" x14ac:dyDescent="0.3">
      <c r="A19" s="78">
        <f t="shared" si="0"/>
        <v>1</v>
      </c>
      <c r="B19" s="79">
        <v>20</v>
      </c>
      <c r="C19" s="80">
        <f t="shared" si="10"/>
        <v>69.052764433738901</v>
      </c>
      <c r="D19" s="81">
        <f t="shared" si="1"/>
        <v>88.351357183999994</v>
      </c>
      <c r="E19" s="82">
        <f t="shared" si="2"/>
        <v>0.6127730490699782</v>
      </c>
      <c r="F19" s="83">
        <f t="shared" si="3"/>
        <v>2.5930745155931243</v>
      </c>
      <c r="G19" s="84">
        <f t="shared" si="4"/>
        <v>0.72029847655364565</v>
      </c>
      <c r="H19" s="85">
        <f t="shared" si="5"/>
        <v>2475.6353419274596</v>
      </c>
      <c r="I19" s="86">
        <f t="shared" si="6"/>
        <v>3.0710641728628523</v>
      </c>
      <c r="J19" s="70">
        <f t="shared" si="7"/>
        <v>5.1184402881047537E-2</v>
      </c>
      <c r="K19" s="87">
        <f t="shared" si="8"/>
        <v>0.85307338135079225</v>
      </c>
      <c r="L19" s="93">
        <f t="shared" si="11"/>
        <v>4.3101728723404253</v>
      </c>
      <c r="M19" s="94">
        <f t="shared" si="12"/>
        <v>0.71251531291719705</v>
      </c>
      <c r="N19" s="95">
        <f t="shared" si="13"/>
        <v>0.71251531291719705</v>
      </c>
      <c r="O19" s="75">
        <f t="shared" si="9"/>
        <v>4.3101728723404253</v>
      </c>
      <c r="P19" s="96">
        <f>'расчёт ФЧ по Т куба'!N10</f>
        <v>4.3101728723404253</v>
      </c>
      <c r="Q19" s="77"/>
    </row>
    <row r="20" spans="1:18" ht="15.6" x14ac:dyDescent="0.3">
      <c r="A20" s="61">
        <f t="shared" si="0"/>
        <v>1</v>
      </c>
      <c r="B20" s="62">
        <v>15</v>
      </c>
      <c r="C20" s="63">
        <f t="shared" si="10"/>
        <v>63.848789255907363</v>
      </c>
      <c r="D20" s="64">
        <f t="shared" si="1"/>
        <v>90.212140453625011</v>
      </c>
      <c r="E20" s="65">
        <f t="shared" si="2"/>
        <v>0.55812629423394755</v>
      </c>
      <c r="F20" s="66">
        <f t="shared" si="3"/>
        <v>2.4561757400238724</v>
      </c>
      <c r="G20" s="67">
        <f t="shared" si="4"/>
        <v>0.6822710388955201</v>
      </c>
      <c r="H20" s="68">
        <f t="shared" si="5"/>
        <v>2485.8048361042315</v>
      </c>
      <c r="I20" s="69">
        <f t="shared" si="6"/>
        <v>2.8748097778433843</v>
      </c>
      <c r="J20" s="70">
        <f t="shared" si="7"/>
        <v>4.7913496297389738E-2</v>
      </c>
      <c r="K20" s="71">
        <f t="shared" si="8"/>
        <v>0.79855827162316229</v>
      </c>
      <c r="L20" s="97">
        <f t="shared" si="11"/>
        <v>4.6693272519954396</v>
      </c>
      <c r="M20" s="94">
        <f t="shared" si="12"/>
        <v>0.61567965205583586</v>
      </c>
      <c r="N20" s="98">
        <f t="shared" si="13"/>
        <v>0.61567965205583586</v>
      </c>
      <c r="O20" s="75">
        <f t="shared" si="9"/>
        <v>4.6693272519954387</v>
      </c>
      <c r="P20" s="96">
        <f>'расчёт ФЧ по Т куба'!N11</f>
        <v>4.6693272519954396</v>
      </c>
      <c r="Q20" s="77"/>
    </row>
    <row r="21" spans="1:18" ht="15.6" x14ac:dyDescent="0.3">
      <c r="A21" s="78">
        <f t="shared" si="0"/>
        <v>1</v>
      </c>
      <c r="B21" s="79">
        <v>10</v>
      </c>
      <c r="C21" s="80">
        <f t="shared" si="10"/>
        <v>55.413316209586611</v>
      </c>
      <c r="D21" s="81">
        <f t="shared" si="1"/>
        <v>92.63153031200001</v>
      </c>
      <c r="E21" s="82">
        <f t="shared" si="2"/>
        <v>0.47420681320431662</v>
      </c>
      <c r="F21" s="83">
        <f t="shared" si="3"/>
        <v>2.2719768999991903</v>
      </c>
      <c r="G21" s="84">
        <f t="shared" si="4"/>
        <v>0.63110469444421946</v>
      </c>
      <c r="H21" s="85">
        <f t="shared" si="5"/>
        <v>2509.1000610973251</v>
      </c>
      <c r="I21" s="86">
        <f t="shared" si="6"/>
        <v>2.6080552106792609</v>
      </c>
      <c r="J21" s="70">
        <f t="shared" si="7"/>
        <v>4.3467586844654349E-2</v>
      </c>
      <c r="K21" s="87">
        <f t="shared" si="8"/>
        <v>0.72445978074423911</v>
      </c>
      <c r="L21" s="93">
        <f t="shared" si="11"/>
        <v>5.4259212518929818</v>
      </c>
      <c r="M21" s="94">
        <f t="shared" si="12"/>
        <v>0.480665879507442</v>
      </c>
      <c r="N21" s="95">
        <f t="shared" si="13"/>
        <v>0.480665879507442</v>
      </c>
      <c r="O21" s="75">
        <f t="shared" si="9"/>
        <v>5.4259212518929818</v>
      </c>
      <c r="P21" s="96">
        <f>'расчёт ФЧ по Т куба'!N12</f>
        <v>5.4259212518929818</v>
      </c>
      <c r="Q21" s="77"/>
    </row>
    <row r="22" spans="1:18" ht="15.6" x14ac:dyDescent="0.3">
      <c r="A22" s="61">
        <f t="shared" si="0"/>
        <v>1</v>
      </c>
      <c r="B22" s="62">
        <v>5</v>
      </c>
      <c r="C22" s="63">
        <f t="shared" si="10"/>
        <v>39.001395052684863</v>
      </c>
      <c r="D22" s="64">
        <f t="shared" si="1"/>
        <v>95.785728425374998</v>
      </c>
      <c r="E22" s="65">
        <f t="shared" si="2"/>
        <v>0.32406371100228382</v>
      </c>
      <c r="F22" s="66">
        <f t="shared" si="3"/>
        <v>2.0031986795836674</v>
      </c>
      <c r="G22" s="67">
        <f t="shared" si="4"/>
        <v>0.55644407766212978</v>
      </c>
      <c r="H22" s="68">
        <f t="shared" si="5"/>
        <v>2567.7099613166283</v>
      </c>
      <c r="I22" s="69">
        <f t="shared" si="6"/>
        <v>2.2117565577688501</v>
      </c>
      <c r="J22" s="70">
        <f t="shared" si="7"/>
        <v>3.68626092961475E-2</v>
      </c>
      <c r="K22" s="71">
        <f t="shared" si="8"/>
        <v>0.61437682160245832</v>
      </c>
      <c r="L22" s="97">
        <f t="shared" si="11"/>
        <v>7.7071917808219181</v>
      </c>
      <c r="M22" s="94">
        <f t="shared" si="12"/>
        <v>0.286973079257278</v>
      </c>
      <c r="N22" s="98">
        <f t="shared" si="13"/>
        <v>0.286973079257278</v>
      </c>
      <c r="O22" s="75">
        <f t="shared" si="9"/>
        <v>7.707191780821919</v>
      </c>
      <c r="P22" s="96">
        <f>'расчёт ФЧ по Т куба'!N13</f>
        <v>7.7071917808219181</v>
      </c>
      <c r="Q22" s="77"/>
    </row>
    <row r="23" spans="1:18" ht="15.6" x14ac:dyDescent="0.3">
      <c r="A23" s="78">
        <f t="shared" si="0"/>
        <v>1</v>
      </c>
      <c r="B23" s="79">
        <v>0</v>
      </c>
      <c r="C23" s="80">
        <f t="shared" si="10"/>
        <v>0</v>
      </c>
      <c r="D23" s="81">
        <f t="shared" si="1"/>
        <v>99.887720000000002</v>
      </c>
      <c r="E23" s="82">
        <f t="shared" si="2"/>
        <v>-1.3411999999999999E-3</v>
      </c>
      <c r="F23" s="100">
        <f t="shared" si="3"/>
        <v>1.5944024856998362</v>
      </c>
      <c r="G23" s="101">
        <f t="shared" si="4"/>
        <v>0.4428895793610656</v>
      </c>
      <c r="H23" s="102">
        <f t="shared" si="5"/>
        <v>2709.7237585825264</v>
      </c>
      <c r="I23" s="86">
        <f t="shared" si="6"/>
        <v>1.5944024856998362</v>
      </c>
      <c r="J23" s="70">
        <f t="shared" si="7"/>
        <v>2.6573374761663937E-2</v>
      </c>
      <c r="K23" s="87">
        <f t="shared" si="8"/>
        <v>0.4428895793610656</v>
      </c>
      <c r="L23" s="93">
        <f t="shared" si="11"/>
        <v>28.592024539877304</v>
      </c>
      <c r="M23" s="94">
        <f t="shared" si="12"/>
        <v>5.5763889103974527E-2</v>
      </c>
      <c r="N23" s="95">
        <f t="shared" si="13"/>
        <v>5.5763889103974527E-2</v>
      </c>
      <c r="O23" s="75">
        <f t="shared" si="9"/>
        <v>28.592024539877304</v>
      </c>
      <c r="P23" s="96">
        <f>'расчёт ФЧ по Т куба'!N14</f>
        <v>28.592024539877304</v>
      </c>
      <c r="Q23" s="77"/>
    </row>
    <row r="24" spans="1:18" x14ac:dyDescent="0.3">
      <c r="L24" s="44" t="s">
        <v>45</v>
      </c>
    </row>
    <row r="30" spans="1:18" x14ac:dyDescent="0.3">
      <c r="K30" s="44"/>
    </row>
  </sheetData>
  <mergeCells count="10">
    <mergeCell ref="L1:P1"/>
    <mergeCell ref="N2:O2"/>
    <mergeCell ref="I2:K2"/>
    <mergeCell ref="L2:M2"/>
    <mergeCell ref="F2:G2"/>
    <mergeCell ref="A1:K1"/>
    <mergeCell ref="E2:E3"/>
    <mergeCell ref="A2:A3"/>
    <mergeCell ref="C2:C3"/>
    <mergeCell ref="B2:B3"/>
  </mergeCells>
  <pageMargins left="0.70000004768371604" right="0.70000004768371604" top="0.75" bottom="0.75" header="0.30000001192092901" footer="0.30000001192092901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" workbookViewId="0"/>
  </sheetViews>
  <sheetFormatPr defaultColWidth="9.21875" defaultRowHeight="14.4" x14ac:dyDescent="0.3"/>
  <sheetData/>
  <pageMargins left="0.70000004768371604" right="0.70000004768371604" top="0.75" bottom="0.75" header="0.30000001192092901" footer="0.30000001192092901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activeCell="A5" sqref="A5:B14"/>
    </sheetView>
  </sheetViews>
  <sheetFormatPr defaultColWidth="10" defaultRowHeight="14.4" x14ac:dyDescent="0.3"/>
  <cols>
    <col min="1" max="1" width="14.88671875" style="103" customWidth="1"/>
    <col min="2" max="2" width="14" customWidth="1"/>
    <col min="3" max="3" width="13.88671875" style="104" customWidth="1"/>
    <col min="4" max="4" width="11" style="104" hidden="1" customWidth="1"/>
    <col min="5" max="5" width="12.88671875" style="104" customWidth="1"/>
    <col min="6" max="6" width="13.5546875" style="104" hidden="1" customWidth="1"/>
    <col min="7" max="7" width="17.77734375" style="104" hidden="1" customWidth="1"/>
    <col min="8" max="8" width="10.77734375" style="103" customWidth="1"/>
    <col min="9" max="10" width="14.109375" customWidth="1"/>
    <col min="11" max="11" width="12.88671875" customWidth="1"/>
    <col min="12" max="12" width="24.88671875" style="104" customWidth="1"/>
    <col min="13" max="13" width="10.21875" style="105" hidden="1" customWidth="1"/>
    <col min="14" max="14" width="9.109375" style="105" customWidth="1"/>
    <col min="15" max="15" width="10.109375" customWidth="1"/>
    <col min="16" max="16" width="9.109375" style="44" bestFit="1" customWidth="1"/>
    <col min="17" max="17" width="11.33203125" customWidth="1"/>
    <col min="18" max="18" width="11.33203125" style="44" customWidth="1"/>
    <col min="19" max="19" width="12" style="44" customWidth="1"/>
  </cols>
  <sheetData>
    <row r="1" spans="1:15" ht="108.75" customHeight="1" x14ac:dyDescent="0.3">
      <c r="A1" s="237" t="s">
        <v>46</v>
      </c>
      <c r="B1" s="238"/>
      <c r="C1" s="235" t="s">
        <v>47</v>
      </c>
      <c r="D1" s="236"/>
      <c r="E1" s="235" t="s">
        <v>48</v>
      </c>
      <c r="F1" s="236"/>
      <c r="G1" s="106" t="s">
        <v>49</v>
      </c>
      <c r="H1" s="107" t="s">
        <v>50</v>
      </c>
      <c r="I1" s="108" t="s">
        <v>51</v>
      </c>
      <c r="J1" s="108" t="s">
        <v>52</v>
      </c>
      <c r="K1" s="107" t="s">
        <v>53</v>
      </c>
      <c r="L1" s="109" t="s">
        <v>54</v>
      </c>
      <c r="M1" s="107" t="s">
        <v>55</v>
      </c>
      <c r="N1" s="222" t="s">
        <v>56</v>
      </c>
      <c r="O1" s="219" t="s">
        <v>57</v>
      </c>
    </row>
    <row r="2" spans="1:15" ht="16.5" customHeight="1" x14ac:dyDescent="0.3">
      <c r="A2" s="241" t="s">
        <v>58</v>
      </c>
      <c r="B2" s="239" t="s">
        <v>59</v>
      </c>
      <c r="C2" s="233" t="s">
        <v>60</v>
      </c>
      <c r="D2" s="233" t="s">
        <v>61</v>
      </c>
      <c r="E2" s="233" t="s">
        <v>58</v>
      </c>
      <c r="F2" s="233" t="s">
        <v>62</v>
      </c>
      <c r="G2" s="233" t="s">
        <v>63</v>
      </c>
      <c r="H2" s="231" t="s">
        <v>64</v>
      </c>
      <c r="I2" s="110">
        <v>750</v>
      </c>
      <c r="J2" s="110">
        <v>20</v>
      </c>
      <c r="K2" s="229" t="s">
        <v>64</v>
      </c>
      <c r="L2" s="227">
        <v>2.5</v>
      </c>
      <c r="M2" s="225"/>
      <c r="N2" s="223"/>
      <c r="O2" s="220"/>
    </row>
    <row r="3" spans="1:15" x14ac:dyDescent="0.3">
      <c r="A3" s="242"/>
      <c r="B3" s="240"/>
      <c r="C3" s="234"/>
      <c r="D3" s="234"/>
      <c r="E3" s="234"/>
      <c r="F3" s="234"/>
      <c r="G3" s="234"/>
      <c r="H3" s="232"/>
      <c r="I3" s="111" t="s">
        <v>65</v>
      </c>
      <c r="J3" s="112"/>
      <c r="K3" s="230"/>
      <c r="L3" s="228"/>
      <c r="M3" s="226"/>
      <c r="N3" s="224"/>
      <c r="O3" s="221"/>
    </row>
    <row r="4" spans="1:15" ht="18" x14ac:dyDescent="0.35">
      <c r="A4" s="113">
        <v>97.2</v>
      </c>
      <c r="B4" s="113">
        <v>94</v>
      </c>
      <c r="C4" s="114">
        <f>A4</f>
        <v>97.2</v>
      </c>
      <c r="D4" s="114">
        <f>B4</f>
        <v>94</v>
      </c>
      <c r="E4" s="115">
        <v>50</v>
      </c>
      <c r="F4" s="116">
        <v>42.42</v>
      </c>
      <c r="G4" s="117">
        <v>75.23</v>
      </c>
      <c r="H4" s="118">
        <v>82.724999999999994</v>
      </c>
      <c r="I4" s="119">
        <f>(I2-760)*0.034</f>
        <v>-0.34</v>
      </c>
      <c r="J4" s="120">
        <f>J2*0.034</f>
        <v>0.68</v>
      </c>
      <c r="K4" s="118">
        <f>H4+I4+J4</f>
        <v>83.064999999999998</v>
      </c>
      <c r="L4" s="121">
        <f>L2</f>
        <v>2.5</v>
      </c>
      <c r="M4" s="122">
        <f t="shared" ref="M4:M14" si="0">(D4-F4)/(G4-F4)</f>
        <v>1.5720816824138981</v>
      </c>
      <c r="N4" s="123">
        <f>M4*L2</f>
        <v>3.9302042060347455</v>
      </c>
      <c r="O4" s="124">
        <f>'генер. спирт. пара'!M13</f>
        <v>0.94043591632744794</v>
      </c>
    </row>
    <row r="5" spans="1:15" x14ac:dyDescent="0.3">
      <c r="A5" s="243" t="s">
        <v>66</v>
      </c>
      <c r="B5" s="244"/>
      <c r="C5" s="122">
        <f>A4</f>
        <v>97.2</v>
      </c>
      <c r="D5" s="114">
        <f>B4</f>
        <v>94</v>
      </c>
      <c r="E5" s="125">
        <v>45</v>
      </c>
      <c r="F5" s="126">
        <v>37.81</v>
      </c>
      <c r="G5" s="127">
        <v>75.959999999999994</v>
      </c>
      <c r="H5" s="128">
        <v>83.418999999999997</v>
      </c>
      <c r="I5" s="248"/>
      <c r="J5" s="249"/>
      <c r="K5" s="128">
        <f>H5+I4+J4</f>
        <v>83.759</v>
      </c>
      <c r="L5" s="121">
        <f t="shared" ref="L5:L14" si="1">L4</f>
        <v>2.5</v>
      </c>
      <c r="M5" s="122">
        <f t="shared" si="0"/>
        <v>1.4728702490170382</v>
      </c>
      <c r="N5" s="123">
        <f t="shared" ref="N5:N14" si="2">M5*L4</f>
        <v>3.6821756225425957</v>
      </c>
      <c r="O5" s="124">
        <f>'генер. спирт. пара'!M14</f>
        <v>0.98615371994330769</v>
      </c>
    </row>
    <row r="6" spans="1:15" x14ac:dyDescent="0.3">
      <c r="A6" s="245"/>
      <c r="B6" s="246"/>
      <c r="C6" s="122">
        <f>A4</f>
        <v>97.2</v>
      </c>
      <c r="D6" s="122">
        <f>B4</f>
        <v>94</v>
      </c>
      <c r="E6" s="115">
        <v>40</v>
      </c>
      <c r="F6" s="116">
        <v>33.299999999999997</v>
      </c>
      <c r="G6" s="129">
        <v>72.62</v>
      </c>
      <c r="H6" s="130">
        <v>84.093999999999994</v>
      </c>
      <c r="I6" s="250"/>
      <c r="J6" s="251"/>
      <c r="K6" s="130">
        <f>H6+I4+J4</f>
        <v>84.433999999999997</v>
      </c>
      <c r="L6" s="121">
        <f t="shared" si="1"/>
        <v>2.5</v>
      </c>
      <c r="M6" s="122">
        <f t="shared" si="0"/>
        <v>1.5437436419125126</v>
      </c>
      <c r="N6" s="123">
        <f t="shared" si="2"/>
        <v>3.8593591047812814</v>
      </c>
      <c r="O6" s="124">
        <f>'генер. спирт. пара'!M15</f>
        <v>0.92121890052874544</v>
      </c>
    </row>
    <row r="7" spans="1:15" x14ac:dyDescent="0.3">
      <c r="A7" s="245"/>
      <c r="B7" s="246"/>
      <c r="C7" s="122">
        <f>A4</f>
        <v>97.2</v>
      </c>
      <c r="D7" s="122">
        <f>B4</f>
        <v>94</v>
      </c>
      <c r="E7" s="125">
        <v>35</v>
      </c>
      <c r="F7" s="126">
        <v>28.9</v>
      </c>
      <c r="G7" s="127">
        <v>70.75</v>
      </c>
      <c r="H7" s="128">
        <v>84.819000000000003</v>
      </c>
      <c r="I7" s="250"/>
      <c r="J7" s="251"/>
      <c r="K7" s="128">
        <f>H7+I4+J4</f>
        <v>85.159000000000006</v>
      </c>
      <c r="L7" s="121">
        <f t="shared" si="1"/>
        <v>2.5</v>
      </c>
      <c r="M7" s="122">
        <f t="shared" si="0"/>
        <v>1.5555555555555554</v>
      </c>
      <c r="N7" s="123">
        <f t="shared" si="2"/>
        <v>3.8888888888888884</v>
      </c>
      <c r="O7" s="124">
        <f>'генер. спирт. пара'!M16</f>
        <v>0.89095538606927138</v>
      </c>
    </row>
    <row r="8" spans="1:15" x14ac:dyDescent="0.3">
      <c r="A8" s="245"/>
      <c r="B8" s="246"/>
      <c r="C8" s="122">
        <f>A4</f>
        <v>97.2</v>
      </c>
      <c r="D8" s="122">
        <f>B4</f>
        <v>94</v>
      </c>
      <c r="E8" s="115">
        <v>30</v>
      </c>
      <c r="F8" s="116">
        <v>24.62</v>
      </c>
      <c r="G8" s="129">
        <v>68.37</v>
      </c>
      <c r="H8" s="130">
        <v>85.795000000000002</v>
      </c>
      <c r="I8" s="250"/>
      <c r="J8" s="251"/>
      <c r="K8" s="130">
        <f>H8+I4+J4</f>
        <v>86.135000000000005</v>
      </c>
      <c r="L8" s="121">
        <f t="shared" si="1"/>
        <v>2.5</v>
      </c>
      <c r="M8" s="122">
        <f t="shared" si="0"/>
        <v>1.5858285714285714</v>
      </c>
      <c r="N8" s="123">
        <f t="shared" si="2"/>
        <v>3.9645714285714284</v>
      </c>
      <c r="O8" s="124">
        <f>'генер. спирт. пара'!M17</f>
        <v>0.84664836904381802</v>
      </c>
    </row>
    <row r="9" spans="1:15" x14ac:dyDescent="0.3">
      <c r="A9" s="245"/>
      <c r="B9" s="246"/>
      <c r="C9" s="122">
        <f>A4</f>
        <v>97.2</v>
      </c>
      <c r="D9" s="122">
        <f>B4</f>
        <v>94</v>
      </c>
      <c r="E9" s="125">
        <v>25</v>
      </c>
      <c r="F9" s="126">
        <v>20.38</v>
      </c>
      <c r="G9" s="127">
        <v>65.3</v>
      </c>
      <c r="H9" s="128">
        <v>86.884</v>
      </c>
      <c r="I9" s="250"/>
      <c r="J9" s="251"/>
      <c r="K9" s="128">
        <f>H9+I4+J4</f>
        <v>87.224000000000004</v>
      </c>
      <c r="L9" s="121">
        <f t="shared" si="1"/>
        <v>2.5</v>
      </c>
      <c r="M9" s="122">
        <f t="shared" si="0"/>
        <v>1.6389136242208371</v>
      </c>
      <c r="N9" s="123">
        <f t="shared" si="2"/>
        <v>4.0972840605520924</v>
      </c>
      <c r="O9" s="124">
        <f>'генер. спирт. пара'!M18</f>
        <v>0.78765864788019002</v>
      </c>
    </row>
    <row r="10" spans="1:15" x14ac:dyDescent="0.3">
      <c r="A10" s="245"/>
      <c r="B10" s="246"/>
      <c r="C10" s="122">
        <f>A4</f>
        <v>97.2</v>
      </c>
      <c r="D10" s="122">
        <f>B4</f>
        <v>94</v>
      </c>
      <c r="E10" s="115">
        <v>20</v>
      </c>
      <c r="F10" s="116">
        <v>16.21</v>
      </c>
      <c r="G10" s="129">
        <v>61.33</v>
      </c>
      <c r="H10" s="130">
        <v>88.215999999999994</v>
      </c>
      <c r="I10" s="250"/>
      <c r="J10" s="251"/>
      <c r="K10" s="130">
        <f>H10+I4+J4</f>
        <v>88.555999999999997</v>
      </c>
      <c r="L10" s="121">
        <f t="shared" si="1"/>
        <v>2.5</v>
      </c>
      <c r="M10" s="122">
        <f t="shared" si="0"/>
        <v>1.7240691489361701</v>
      </c>
      <c r="N10" s="123">
        <f t="shared" si="2"/>
        <v>4.3101728723404253</v>
      </c>
      <c r="O10" s="124">
        <f>'генер. спирт. пара'!M19</f>
        <v>0.71251531291719705</v>
      </c>
    </row>
    <row r="11" spans="1:15" x14ac:dyDescent="0.3">
      <c r="A11" s="245"/>
      <c r="B11" s="246"/>
      <c r="C11" s="122">
        <f>A4</f>
        <v>97.2</v>
      </c>
      <c r="D11" s="122">
        <f>B4</f>
        <v>94</v>
      </c>
      <c r="E11" s="125">
        <v>15</v>
      </c>
      <c r="F11" s="126">
        <v>12.1</v>
      </c>
      <c r="G11" s="127">
        <v>55.95</v>
      </c>
      <c r="H11" s="128">
        <v>90.421999999999997</v>
      </c>
      <c r="I11" s="250"/>
      <c r="J11" s="251"/>
      <c r="K11" s="128">
        <f>H11+I4+J4</f>
        <v>90.762</v>
      </c>
      <c r="L11" s="121">
        <f t="shared" si="1"/>
        <v>2.5</v>
      </c>
      <c r="M11" s="122">
        <f t="shared" si="0"/>
        <v>1.8677309007981757</v>
      </c>
      <c r="N11" s="123">
        <f t="shared" si="2"/>
        <v>4.6693272519954396</v>
      </c>
      <c r="O11" s="124">
        <f>'генер. спирт. пара'!M20</f>
        <v>0.61567965205583586</v>
      </c>
    </row>
    <row r="12" spans="1:15" x14ac:dyDescent="0.3">
      <c r="A12" s="245"/>
      <c r="B12" s="246"/>
      <c r="C12" s="122">
        <f>A4</f>
        <v>97.2</v>
      </c>
      <c r="D12" s="122">
        <f>B4</f>
        <v>94</v>
      </c>
      <c r="E12" s="115">
        <v>10</v>
      </c>
      <c r="F12" s="116">
        <v>8.01</v>
      </c>
      <c r="G12" s="129">
        <v>47.63</v>
      </c>
      <c r="H12" s="130">
        <v>92.588999999999999</v>
      </c>
      <c r="I12" s="250"/>
      <c r="J12" s="251"/>
      <c r="K12" s="130">
        <f>H12+I4+J4</f>
        <v>92.929000000000002</v>
      </c>
      <c r="L12" s="121">
        <f t="shared" si="1"/>
        <v>2.5</v>
      </c>
      <c r="M12" s="122">
        <f t="shared" si="0"/>
        <v>2.1703685007571929</v>
      </c>
      <c r="N12" s="123">
        <f t="shared" si="2"/>
        <v>5.4259212518929818</v>
      </c>
      <c r="O12" s="124">
        <f>'генер. спирт. пара'!M21</f>
        <v>0.480665879507442</v>
      </c>
    </row>
    <row r="13" spans="1:15" x14ac:dyDescent="0.3">
      <c r="A13" s="245"/>
      <c r="B13" s="246"/>
      <c r="C13" s="122">
        <f>A4</f>
        <v>97.2</v>
      </c>
      <c r="D13" s="122">
        <f>B4</f>
        <v>94</v>
      </c>
      <c r="E13" s="125">
        <v>5</v>
      </c>
      <c r="F13" s="126">
        <v>3.98</v>
      </c>
      <c r="G13" s="127">
        <v>33.18</v>
      </c>
      <c r="H13" s="128">
        <v>95.816000000000003</v>
      </c>
      <c r="I13" s="250"/>
      <c r="J13" s="251"/>
      <c r="K13" s="128">
        <f>H13+I4+J4</f>
        <v>96.156000000000006</v>
      </c>
      <c r="L13" s="121">
        <f t="shared" si="1"/>
        <v>2.5</v>
      </c>
      <c r="M13" s="122">
        <f t="shared" si="0"/>
        <v>3.0828767123287673</v>
      </c>
      <c r="N13" s="123">
        <f t="shared" si="2"/>
        <v>7.7071917808219181</v>
      </c>
      <c r="O13" s="124">
        <f>'генер. спирт. пара'!M22</f>
        <v>0.286973079257278</v>
      </c>
    </row>
    <row r="14" spans="1:15" x14ac:dyDescent="0.3">
      <c r="A14" s="245"/>
      <c r="B14" s="247"/>
      <c r="C14" s="122">
        <f>A4</f>
        <v>97.2</v>
      </c>
      <c r="D14" s="122">
        <f>B4</f>
        <v>94</v>
      </c>
      <c r="E14" s="115">
        <v>1</v>
      </c>
      <c r="F14" s="116">
        <v>0.79</v>
      </c>
      <c r="G14" s="131">
        <v>8.94</v>
      </c>
      <c r="H14" s="132">
        <v>99.006</v>
      </c>
      <c r="I14" s="252"/>
      <c r="J14" s="253"/>
      <c r="K14" s="132">
        <f>H14+I4+J4</f>
        <v>99.346000000000004</v>
      </c>
      <c r="L14" s="133">
        <f t="shared" si="1"/>
        <v>2.5</v>
      </c>
      <c r="M14" s="122">
        <f t="shared" si="0"/>
        <v>11.436809815950921</v>
      </c>
      <c r="N14" s="123">
        <f t="shared" si="2"/>
        <v>28.592024539877304</v>
      </c>
      <c r="O14" s="124">
        <f>'генер. спирт. пара'!M23</f>
        <v>5.5763889103974527E-2</v>
      </c>
    </row>
    <row r="16" spans="1:15" x14ac:dyDescent="0.3">
      <c r="A16" s="104"/>
      <c r="B16" s="35"/>
      <c r="C16" s="103"/>
      <c r="D16" s="103"/>
      <c r="E16" s="13"/>
      <c r="F16" s="13"/>
      <c r="G16" s="13"/>
      <c r="H16" s="134"/>
      <c r="I16" s="104"/>
      <c r="J16" s="105"/>
      <c r="K16" s="105"/>
      <c r="L16" s="105"/>
      <c r="N16" s="13"/>
      <c r="O16" s="13"/>
    </row>
    <row r="17" spans="1:17" x14ac:dyDescent="0.3">
      <c r="A17" s="104"/>
      <c r="B17" s="35"/>
      <c r="C17" s="103"/>
      <c r="D17" s="103"/>
      <c r="E17" s="13"/>
      <c r="F17" s="13"/>
      <c r="G17" s="13"/>
      <c r="H17" s="134"/>
      <c r="I17" s="104"/>
      <c r="J17" s="105"/>
      <c r="K17" s="105"/>
      <c r="L17" s="105"/>
      <c r="N17" s="13"/>
      <c r="O17" s="13"/>
    </row>
    <row r="18" spans="1:17" x14ac:dyDescent="0.3">
      <c r="A18" s="104"/>
      <c r="B18" s="135" t="s">
        <v>67</v>
      </c>
      <c r="C18" s="103"/>
      <c r="D18" s="103"/>
      <c r="E18" s="13"/>
      <c r="F18" s="13"/>
      <c r="G18" s="13"/>
      <c r="H18" s="134"/>
      <c r="I18" s="104"/>
      <c r="J18" s="105"/>
      <c r="K18" s="105"/>
      <c r="L18" s="105"/>
      <c r="N18" s="13"/>
      <c r="O18" s="13"/>
    </row>
    <row r="19" spans="1:17" x14ac:dyDescent="0.3">
      <c r="A19" s="104"/>
      <c r="B19" s="135" t="s">
        <v>68</v>
      </c>
      <c r="C19" s="103"/>
      <c r="D19" s="103"/>
      <c r="E19" s="13"/>
      <c r="F19" s="13"/>
      <c r="G19" s="13"/>
      <c r="H19" s="134"/>
      <c r="I19" s="104"/>
      <c r="J19" s="105"/>
      <c r="K19" s="105"/>
      <c r="L19" s="105"/>
      <c r="N19" s="13"/>
      <c r="O19" s="13"/>
    </row>
    <row r="20" spans="1:17" x14ac:dyDescent="0.3">
      <c r="A20" s="13"/>
      <c r="B20" s="13"/>
      <c r="E20" s="103"/>
      <c r="F20" s="103"/>
      <c r="G20" s="103"/>
      <c r="H20" s="13"/>
      <c r="I20" s="13"/>
      <c r="J20" s="134"/>
      <c r="K20" s="134"/>
      <c r="L20" s="105"/>
      <c r="N20" s="13"/>
      <c r="O20" s="13"/>
    </row>
    <row r="21" spans="1:17" ht="16.5" customHeight="1" x14ac:dyDescent="0.3">
      <c r="B21" s="13"/>
      <c r="I21" s="13"/>
      <c r="J21" s="13"/>
      <c r="K21" s="13"/>
      <c r="N21" s="13"/>
      <c r="O21" s="13"/>
    </row>
    <row r="22" spans="1:17" ht="15.6" x14ac:dyDescent="0.3">
      <c r="A22" s="136"/>
      <c r="B22" s="24"/>
      <c r="E22" s="103"/>
      <c r="F22" s="103"/>
      <c r="G22" s="103"/>
      <c r="H22" s="13"/>
      <c r="I22" s="13"/>
      <c r="J22" s="134"/>
      <c r="K22" s="134"/>
      <c r="L22" s="105"/>
      <c r="N22" s="13"/>
      <c r="O22" s="13"/>
      <c r="P22" s="137"/>
      <c r="Q22" s="138"/>
    </row>
    <row r="23" spans="1:17" ht="14.25" customHeight="1" x14ac:dyDescent="0.3">
      <c r="A23" s="136"/>
      <c r="B23" s="35"/>
      <c r="E23" s="103"/>
      <c r="F23" s="103"/>
      <c r="G23" s="103"/>
      <c r="H23" s="13"/>
      <c r="I23" s="13"/>
      <c r="J23" s="134"/>
      <c r="K23" s="134"/>
      <c r="L23" s="105"/>
      <c r="N23" s="13"/>
      <c r="O23" s="13"/>
      <c r="P23" s="134"/>
      <c r="Q23" s="105"/>
    </row>
    <row r="24" spans="1:17" ht="15.6" x14ac:dyDescent="0.3">
      <c r="A24" s="136"/>
      <c r="B24" s="135"/>
      <c r="E24" s="103"/>
      <c r="F24" s="103"/>
      <c r="G24" s="103"/>
      <c r="H24" s="13"/>
      <c r="I24" s="13"/>
      <c r="J24" s="134"/>
      <c r="K24" s="134"/>
      <c r="L24" s="105"/>
      <c r="N24" s="13"/>
      <c r="O24" s="13"/>
    </row>
    <row r="25" spans="1:17" x14ac:dyDescent="0.3">
      <c r="A25" s="13"/>
      <c r="B25" s="13"/>
      <c r="I25" s="13"/>
      <c r="J25" s="13"/>
      <c r="K25" s="13"/>
      <c r="N25" s="13"/>
      <c r="O25" s="13"/>
    </row>
    <row r="26" spans="1:17" x14ac:dyDescent="0.3">
      <c r="A26"/>
      <c r="B26" s="13"/>
      <c r="E26" s="103"/>
      <c r="F26" s="103"/>
      <c r="G26" s="103"/>
      <c r="H26"/>
      <c r="J26" s="134"/>
      <c r="K26" s="134"/>
      <c r="L26" s="105"/>
      <c r="N26"/>
    </row>
    <row r="27" spans="1:17" x14ac:dyDescent="0.3">
      <c r="A27" s="104"/>
      <c r="B27" s="104"/>
      <c r="C27" s="103"/>
      <c r="D27" s="103"/>
      <c r="E27"/>
      <c r="F27"/>
      <c r="G27"/>
      <c r="H27" s="134"/>
      <c r="I27" s="104"/>
      <c r="J27" s="105"/>
      <c r="K27" s="105"/>
      <c r="L27"/>
      <c r="M27"/>
      <c r="N27"/>
    </row>
    <row r="28" spans="1:17" x14ac:dyDescent="0.3">
      <c r="A28" s="104"/>
      <c r="B28" s="104"/>
      <c r="C28" s="103"/>
      <c r="D28" s="103"/>
      <c r="E28"/>
      <c r="F28"/>
      <c r="G28"/>
      <c r="H28" s="134"/>
      <c r="I28" s="104"/>
      <c r="J28" s="105"/>
      <c r="K28" s="105"/>
      <c r="L28"/>
      <c r="M28"/>
      <c r="N28"/>
    </row>
    <row r="29" spans="1:17" x14ac:dyDescent="0.3">
      <c r="A29"/>
      <c r="B29" s="104"/>
      <c r="E29" s="103"/>
      <c r="F29" s="103"/>
      <c r="G29" s="103"/>
      <c r="H29"/>
      <c r="J29" s="134"/>
      <c r="K29" s="134"/>
      <c r="L29" s="105"/>
      <c r="N29"/>
    </row>
    <row r="30" spans="1:17" x14ac:dyDescent="0.3">
      <c r="A30" s="104"/>
      <c r="B30" s="104"/>
      <c r="E30" s="103"/>
      <c r="F30" s="103"/>
      <c r="G30" s="103"/>
      <c r="H30"/>
      <c r="I30" s="134"/>
      <c r="J30" s="105"/>
      <c r="K30" s="105"/>
      <c r="L30"/>
      <c r="M30"/>
      <c r="N30"/>
    </row>
    <row r="31" spans="1:17" x14ac:dyDescent="0.3">
      <c r="A31" s="135"/>
      <c r="B31" s="104"/>
      <c r="C31" s="103"/>
      <c r="D31" s="103"/>
      <c r="E31"/>
      <c r="F31"/>
      <c r="G31"/>
      <c r="H31" s="134"/>
      <c r="I31" s="104"/>
      <c r="J31" s="105"/>
      <c r="K31" s="105"/>
      <c r="L31"/>
      <c r="M31"/>
      <c r="N31"/>
    </row>
    <row r="32" spans="1:17" x14ac:dyDescent="0.3">
      <c r="A32" s="104"/>
      <c r="B32" s="104"/>
      <c r="C32" s="103"/>
      <c r="D32" s="103"/>
      <c r="E32"/>
      <c r="F32"/>
      <c r="G32"/>
      <c r="H32" s="134"/>
      <c r="I32" s="104"/>
      <c r="J32" s="105"/>
      <c r="K32" s="105"/>
      <c r="L32" s="105"/>
      <c r="N32"/>
    </row>
    <row r="33" spans="1:14" x14ac:dyDescent="0.3">
      <c r="A33"/>
      <c r="B33" s="104"/>
      <c r="E33" s="103"/>
      <c r="F33" s="103"/>
      <c r="G33" s="103"/>
      <c r="H33"/>
      <c r="J33" s="134"/>
      <c r="K33" s="134"/>
      <c r="L33" s="105"/>
      <c r="N33"/>
    </row>
    <row r="34" spans="1:14" x14ac:dyDescent="0.3">
      <c r="A34"/>
      <c r="B34" s="104"/>
      <c r="E34" s="103"/>
      <c r="F34" s="103"/>
      <c r="G34" s="103"/>
      <c r="H34"/>
      <c r="J34" s="134"/>
      <c r="K34" s="134"/>
      <c r="L34" s="105"/>
      <c r="N34"/>
    </row>
    <row r="35" spans="1:14" x14ac:dyDescent="0.3">
      <c r="A35"/>
      <c r="B35" s="104"/>
      <c r="E35" s="103"/>
      <c r="F35" s="103"/>
      <c r="G35" s="103"/>
      <c r="H35"/>
      <c r="J35" s="134"/>
      <c r="K35" s="134"/>
      <c r="L35" s="105"/>
      <c r="N35"/>
    </row>
    <row r="36" spans="1:14" x14ac:dyDescent="0.3">
      <c r="A36"/>
      <c r="B36" s="104"/>
      <c r="E36" s="103"/>
      <c r="F36" s="103"/>
      <c r="G36" s="103"/>
      <c r="H36"/>
      <c r="J36" s="134"/>
      <c r="K36" s="134"/>
      <c r="L36" s="105"/>
      <c r="N36"/>
    </row>
    <row r="37" spans="1:14" x14ac:dyDescent="0.3">
      <c r="A37"/>
      <c r="B37" s="104"/>
      <c r="E37" s="103"/>
      <c r="F37" s="103"/>
      <c r="G37" s="103"/>
      <c r="H37"/>
      <c r="J37" s="134"/>
      <c r="K37" s="134"/>
      <c r="L37" s="105"/>
      <c r="N37"/>
    </row>
  </sheetData>
  <mergeCells count="18">
    <mergeCell ref="I5:J14"/>
    <mergeCell ref="C2:C3"/>
    <mergeCell ref="D2:D3"/>
    <mergeCell ref="C1:D1"/>
    <mergeCell ref="A1:B1"/>
    <mergeCell ref="B2:B3"/>
    <mergeCell ref="A2:A3"/>
    <mergeCell ref="A5:B14"/>
    <mergeCell ref="H2:H3"/>
    <mergeCell ref="G2:G3"/>
    <mergeCell ref="E1:F1"/>
    <mergeCell ref="F2:F3"/>
    <mergeCell ref="E2:E3"/>
    <mergeCell ref="O1:O3"/>
    <mergeCell ref="N1:N3"/>
    <mergeCell ref="M2:M3"/>
    <mergeCell ref="L2:L3"/>
    <mergeCell ref="K2:K3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реал. мощ.</vt:lpstr>
      <vt:lpstr>генер. спирт. пара</vt:lpstr>
      <vt:lpstr>График отбора</vt:lpstr>
      <vt:lpstr>расчёт ФЧ по Т куба</vt:lpstr>
      <vt:lpstr>вольт</vt:lpstr>
      <vt:lpstr>кВт</vt:lpstr>
      <vt:lpstr>Мощ.тэна</vt:lpstr>
      <vt:lpstr>Ом</vt:lpstr>
      <vt:lpstr>Реал_Мощность</vt:lpstr>
      <vt:lpstr>шаг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</dc:creator>
  <cp:lastModifiedBy>nik</cp:lastModifiedBy>
  <dcterms:created xsi:type="dcterms:W3CDTF">2025-01-08T06:00:22Z</dcterms:created>
  <dcterms:modified xsi:type="dcterms:W3CDTF">2025-01-08T06:00:22Z</dcterms:modified>
</cp:coreProperties>
</file>