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ФГ\Самогон\"/>
    </mc:Choice>
  </mc:AlternateContent>
  <bookViews>
    <workbookView minimized="1" xWindow="0" yWindow="0" windowWidth="23040" windowHeight="9384" tabRatio="784" activeTab="3"/>
  </bookViews>
  <sheets>
    <sheet name="реал. мощ." sheetId="2" r:id="rId1"/>
    <sheet name="генер. спирт. пара" sheetId="4" r:id="rId2"/>
    <sheet name="График отбора" sheetId="7" r:id="rId3"/>
    <sheet name="расчёт ФЧ по Т куба" sheetId="6" r:id="rId4"/>
  </sheets>
  <externalReferences>
    <externalReference r:id="rId5"/>
    <externalReference r:id="rId6"/>
  </externalReferences>
  <definedNames>
    <definedName name="_kr3">[1]Лист3!#REF!</definedName>
    <definedName name="_kr4">[1]Лист3!#REF!</definedName>
    <definedName name="_kr5">[1]Лист3!#REF!</definedName>
    <definedName name="_ku6">[2]Лист2!#REF!</definedName>
    <definedName name="_xlnm._FilterDatabase" localSheetId="3" hidden="1">'расчёт ФЧ по Т куба'!#REF!</definedName>
    <definedName name="aaa">#REF!</definedName>
    <definedName name="dfg">#REF!</definedName>
    <definedName name="gj">[2]Лист2!#REF!</definedName>
    <definedName name="hgfd">#REF!</definedName>
    <definedName name="krec">#REF!</definedName>
    <definedName name="krect2">[1]Лист3!#REF!</definedName>
    <definedName name="prim">#REF!</definedName>
    <definedName name="rrec">#REF!</definedName>
    <definedName name="wew">[2]Лист1!$D$1:$D$21</definedName>
    <definedName name="yujkd">#REF!</definedName>
    <definedName name="вольт" localSheetId="3">#REF!</definedName>
    <definedName name="вольт">'реал. мощ.'!$E$2</definedName>
    <definedName name="градус" localSheetId="3">#REF!</definedName>
    <definedName name="градус">#REF!</definedName>
    <definedName name="длит">#REF!</definedName>
    <definedName name="кво">#REF!</definedName>
    <definedName name="кВт" localSheetId="3">#REF!</definedName>
    <definedName name="кВт">'реал. мощ.'!$A$12</definedName>
    <definedName name="кЙ">[1]Лист3!#REF!</definedName>
    <definedName name="кна">#REF!</definedName>
    <definedName name="кнт">#REF!</definedName>
    <definedName name="литр" localSheetId="3">#REF!</definedName>
    <definedName name="литр">#REF!</definedName>
    <definedName name="макол">#REF!</definedName>
    <definedName name="макс">#REF!</definedName>
    <definedName name="максконц">#REF!</definedName>
    <definedName name="Мощ.тэна" localSheetId="3">#REF!</definedName>
    <definedName name="Мощ.тэна">'реал. мощ.'!$A$2</definedName>
    <definedName name="Мощность1">#REF!</definedName>
    <definedName name="Мощность2">#REF!</definedName>
    <definedName name="мОЩНОСТЬ3">#REF!</definedName>
    <definedName name="Мощность4">#REF!</definedName>
    <definedName name="напряжение">#REF!</definedName>
    <definedName name="напряжение1">#REF!</definedName>
    <definedName name="напряжение2">#REF!</definedName>
    <definedName name="напряжение3">#REF!</definedName>
    <definedName name="нач">#REF!</definedName>
    <definedName name="Ом" localSheetId="3">#REF!</definedName>
    <definedName name="Ом">'реал. мощ.'!$G$2</definedName>
    <definedName name="Ом1">#REF!</definedName>
    <definedName name="Ом2">#REF!</definedName>
    <definedName name="Ом3">#REF!</definedName>
    <definedName name="Ом4">#REF!</definedName>
    <definedName name="орт">#REF!</definedName>
    <definedName name="отб">#REF!</definedName>
    <definedName name="павы">#REF!</definedName>
    <definedName name="павыы">#REF!</definedName>
    <definedName name="пвртвпр">[1]Лист3!#REF!</definedName>
    <definedName name="пер">#REF!</definedName>
    <definedName name="период">#REF!</definedName>
    <definedName name="Реал_Мощность" localSheetId="3">#REF!</definedName>
    <definedName name="Реал_Мощность">'реал. мощ.'!$L$4</definedName>
    <definedName name="сек" localSheetId="3">#REF!</definedName>
    <definedName name="сек">#REF!</definedName>
    <definedName name="удспос">#REF!</definedName>
    <definedName name="УЦ">[2]Лист1!$A$1:$A$97</definedName>
    <definedName name="шаг" localSheetId="3">#REF!</definedName>
    <definedName name="шаг">'реал. мощ.'!$C$2</definedName>
    <definedName name="шаг.литр" localSheetId="3">#REF!</definedName>
    <definedName name="шаг.литр">#REF!</definedName>
    <definedName name="шаг.темп." localSheetId="3">#REF!</definedName>
    <definedName name="шаг.темп.">#REF!</definedName>
    <definedName name="Ы">#REF!</definedName>
    <definedName name="яясчимс">[1]Лист3!#REF!</definedName>
  </definedNames>
  <calcPr calcId="152511"/>
</workbook>
</file>

<file path=xl/calcChain.xml><?xml version="1.0" encoding="utf-8"?>
<calcChain xmlns="http://schemas.openxmlformats.org/spreadsheetml/2006/main">
  <c r="D12" i="2" l="1"/>
  <c r="L4" i="6" l="1"/>
  <c r="D19" i="4" l="1"/>
  <c r="G12" i="2" l="1"/>
  <c r="G2" i="2"/>
  <c r="C5" i="4"/>
  <c r="E5" i="4" s="1"/>
  <c r="C6" i="4"/>
  <c r="E6" i="4" s="1"/>
  <c r="C7" i="4"/>
  <c r="E7" i="4" s="1"/>
  <c r="C8" i="4"/>
  <c r="E8" i="4" s="1"/>
  <c r="C9" i="4"/>
  <c r="E9" i="4" s="1"/>
  <c r="C10" i="4"/>
  <c r="E10" i="4" s="1"/>
  <c r="C11" i="4"/>
  <c r="E11" i="4" s="1"/>
  <c r="C12" i="4"/>
  <c r="E12" i="4" s="1"/>
  <c r="C13" i="4"/>
  <c r="E13" i="4" s="1"/>
  <c r="D4" i="6"/>
  <c r="M4" i="6" s="1"/>
  <c r="N4" i="6" s="1"/>
  <c r="P13" i="4" s="1"/>
  <c r="L13" i="4" s="1"/>
  <c r="C14" i="4"/>
  <c r="E14" i="4"/>
  <c r="D5" i="6"/>
  <c r="M5" i="6" s="1"/>
  <c r="L5" i="6"/>
  <c r="C15" i="4"/>
  <c r="E15" i="4" s="1"/>
  <c r="D6" i="6"/>
  <c r="M6" i="6" s="1"/>
  <c r="C16" i="4"/>
  <c r="E16" i="4" s="1"/>
  <c r="D7" i="6"/>
  <c r="M7" i="6" s="1"/>
  <c r="C17" i="4"/>
  <c r="E17" i="4" s="1"/>
  <c r="D8" i="6"/>
  <c r="M8" i="6" s="1"/>
  <c r="C18" i="4"/>
  <c r="E18" i="4" s="1"/>
  <c r="D9" i="6"/>
  <c r="M9" i="6" s="1"/>
  <c r="C19" i="4"/>
  <c r="E19" i="4" s="1"/>
  <c r="D10" i="6"/>
  <c r="M10" i="6" s="1"/>
  <c r="C20" i="4"/>
  <c r="E20" i="4" s="1"/>
  <c r="D11" i="6"/>
  <c r="M11" i="6" s="1"/>
  <c r="C21" i="4"/>
  <c r="E21" i="4" s="1"/>
  <c r="D12" i="6"/>
  <c r="M12" i="6" s="1"/>
  <c r="C22" i="4"/>
  <c r="E22" i="4" s="1"/>
  <c r="D13" i="6"/>
  <c r="M13" i="6" s="1"/>
  <c r="C23" i="4"/>
  <c r="E23" i="4" s="1"/>
  <c r="D14" i="6"/>
  <c r="M14" i="6" s="1"/>
  <c r="E4" i="4"/>
  <c r="I4" i="6"/>
  <c r="J4" i="6"/>
  <c r="D6" i="4"/>
  <c r="C4" i="6"/>
  <c r="C5" i="6"/>
  <c r="C6" i="6"/>
  <c r="C7" i="6"/>
  <c r="C8" i="6"/>
  <c r="C9" i="6"/>
  <c r="C10" i="6"/>
  <c r="C11" i="6"/>
  <c r="C12" i="6"/>
  <c r="C13" i="6"/>
  <c r="C14" i="6"/>
  <c r="D23" i="4"/>
  <c r="D22" i="4"/>
  <c r="D21" i="4"/>
  <c r="D20" i="4"/>
  <c r="D18" i="4"/>
  <c r="D17" i="4"/>
  <c r="D16" i="4"/>
  <c r="D15" i="4"/>
  <c r="D14" i="4"/>
  <c r="D13" i="4"/>
  <c r="D12" i="4"/>
  <c r="D11" i="4"/>
  <c r="D10" i="4"/>
  <c r="D9" i="4"/>
  <c r="D8" i="4"/>
  <c r="D7" i="4"/>
  <c r="D5" i="4"/>
  <c r="D4" i="4"/>
  <c r="A6" i="2"/>
  <c r="C6" i="2" s="1"/>
  <c r="A16" i="2"/>
  <c r="C16" i="2" s="1"/>
  <c r="A17" i="2"/>
  <c r="C17" i="2" s="1"/>
  <c r="A18" i="2"/>
  <c r="A15" i="2"/>
  <c r="C15" i="2" s="1"/>
  <c r="A14" i="2"/>
  <c r="A13" i="2"/>
  <c r="C13" i="2" s="1"/>
  <c r="A7" i="2"/>
  <c r="A8" i="2"/>
  <c r="C8" i="2" s="1"/>
  <c r="A9" i="2"/>
  <c r="C9" i="2" s="1"/>
  <c r="A10" i="2"/>
  <c r="C10" i="2" s="1"/>
  <c r="A11" i="2"/>
  <c r="A12" i="2"/>
  <c r="C12" i="2" s="1"/>
  <c r="G13" i="2"/>
  <c r="G14" i="2"/>
  <c r="B12" i="2"/>
  <c r="B13" i="2"/>
  <c r="B14" i="2"/>
  <c r="B11" i="2"/>
  <c r="C11" i="2"/>
  <c r="G15" i="2"/>
  <c r="C14" i="2"/>
  <c r="B15" i="2"/>
  <c r="B10" i="2"/>
  <c r="G11" i="2"/>
  <c r="B16" i="2"/>
  <c r="G10" i="2"/>
  <c r="B9" i="2"/>
  <c r="G16" i="2"/>
  <c r="G17" i="2"/>
  <c r="B8" i="2"/>
  <c r="B17" i="2"/>
  <c r="G9" i="2"/>
  <c r="G8" i="2"/>
  <c r="B18" i="2"/>
  <c r="C18" i="2"/>
  <c r="G18" i="2"/>
  <c r="B7" i="2"/>
  <c r="G7" i="2"/>
  <c r="C7" i="2"/>
  <c r="B6" i="2"/>
  <c r="G6" i="2"/>
  <c r="K13" i="6" l="1"/>
  <c r="K10" i="6"/>
  <c r="K11" i="6"/>
  <c r="N6" i="6"/>
  <c r="P15" i="4" s="1"/>
  <c r="L15" i="4" s="1"/>
  <c r="N5" i="6"/>
  <c r="P14" i="4" s="1"/>
  <c r="L14" i="4" s="1"/>
  <c r="L6" i="6"/>
  <c r="K14" i="6"/>
  <c r="K7" i="6"/>
  <c r="K4" i="6"/>
  <c r="K8" i="6"/>
  <c r="K12" i="6"/>
  <c r="K5" i="6"/>
  <c r="K9" i="6"/>
  <c r="K6" i="6"/>
  <c r="H6" i="2"/>
  <c r="I6" i="2" s="1"/>
  <c r="H14" i="2"/>
  <c r="I14" i="2" s="1"/>
  <c r="H16" i="2"/>
  <c r="I16" i="2" s="1"/>
  <c r="H7" i="2"/>
  <c r="I7" i="2" s="1"/>
  <c r="H9" i="2"/>
  <c r="I9" i="2" s="1"/>
  <c r="H17" i="2"/>
  <c r="I17" i="2" s="1"/>
  <c r="H8" i="2"/>
  <c r="I8" i="2" s="1"/>
  <c r="H11" i="2"/>
  <c r="I11" i="2" s="1"/>
  <c r="H18" i="2"/>
  <c r="I18" i="2" s="1"/>
  <c r="H12" i="2"/>
  <c r="I12" i="2" s="1"/>
  <c r="H13" i="2"/>
  <c r="I13" i="2" s="1"/>
  <c r="H15" i="2"/>
  <c r="I15" i="2" s="1"/>
  <c r="H10" i="2"/>
  <c r="I10" i="2" s="1"/>
  <c r="N7" i="6" l="1"/>
  <c r="P16" i="4" s="1"/>
  <c r="L16" i="4" s="1"/>
  <c r="L7" i="6"/>
  <c r="A6" i="4"/>
  <c r="F6" i="4" s="1"/>
  <c r="A8" i="4"/>
  <c r="F8" i="4" s="1"/>
  <c r="A10" i="4"/>
  <c r="F10" i="4" s="1"/>
  <c r="A12" i="4"/>
  <c r="F12" i="4" s="1"/>
  <c r="N13" i="2"/>
  <c r="A15" i="4"/>
  <c r="F15" i="4" s="1"/>
  <c r="A17" i="4"/>
  <c r="F17" i="4" s="1"/>
  <c r="A19" i="4"/>
  <c r="F19" i="4" s="1"/>
  <c r="A21" i="4"/>
  <c r="F21" i="4" s="1"/>
  <c r="A23" i="4"/>
  <c r="F23" i="4" s="1"/>
  <c r="A5" i="4"/>
  <c r="F5" i="4" s="1"/>
  <c r="A7" i="4"/>
  <c r="F7" i="4" s="1"/>
  <c r="A9" i="4"/>
  <c r="F9" i="4" s="1"/>
  <c r="A11" i="4"/>
  <c r="F11" i="4" s="1"/>
  <c r="A13" i="4"/>
  <c r="F13" i="4" s="1"/>
  <c r="A14" i="4"/>
  <c r="F14" i="4" s="1"/>
  <c r="A16" i="4"/>
  <c r="F16" i="4" s="1"/>
  <c r="A18" i="4"/>
  <c r="F18" i="4" s="1"/>
  <c r="A20" i="4"/>
  <c r="F20" i="4" s="1"/>
  <c r="A22" i="4"/>
  <c r="F22" i="4" s="1"/>
  <c r="A4" i="4"/>
  <c r="F4" i="4" s="1"/>
  <c r="L8" i="6" l="1"/>
  <c r="N8" i="6"/>
  <c r="P17" i="4" s="1"/>
  <c r="L17" i="4" s="1"/>
  <c r="I12" i="4"/>
  <c r="H12" i="4"/>
  <c r="G12" i="4"/>
  <c r="H18" i="4"/>
  <c r="G18" i="4"/>
  <c r="I18" i="4"/>
  <c r="I11" i="4"/>
  <c r="H11" i="4"/>
  <c r="G11" i="4"/>
  <c r="I23" i="4"/>
  <c r="G23" i="4"/>
  <c r="H23" i="4"/>
  <c r="I15" i="4"/>
  <c r="G15" i="4"/>
  <c r="H15" i="4"/>
  <c r="I4" i="4"/>
  <c r="G4" i="4"/>
  <c r="H4" i="4"/>
  <c r="H16" i="4"/>
  <c r="I16" i="4"/>
  <c r="G16" i="4"/>
  <c r="I9" i="4"/>
  <c r="H9" i="4"/>
  <c r="G9" i="4"/>
  <c r="I21" i="4"/>
  <c r="G21" i="4"/>
  <c r="H21" i="4"/>
  <c r="H22" i="4"/>
  <c r="I22" i="4"/>
  <c r="G22" i="4"/>
  <c r="H14" i="4"/>
  <c r="I14" i="4"/>
  <c r="G14" i="4"/>
  <c r="I7" i="4"/>
  <c r="G7" i="4"/>
  <c r="H7" i="4"/>
  <c r="I19" i="4"/>
  <c r="G19" i="4"/>
  <c r="H19" i="4"/>
  <c r="H20" i="4"/>
  <c r="G20" i="4"/>
  <c r="I20" i="4"/>
  <c r="G13" i="4"/>
  <c r="I13" i="4"/>
  <c r="H13" i="4"/>
  <c r="H5" i="4"/>
  <c r="I5" i="4"/>
  <c r="G5" i="4"/>
  <c r="I17" i="4"/>
  <c r="G17" i="4"/>
  <c r="H17" i="4"/>
  <c r="I10" i="4"/>
  <c r="H10" i="4"/>
  <c r="G10" i="4"/>
  <c r="I8" i="4"/>
  <c r="H8" i="4"/>
  <c r="G8" i="4"/>
  <c r="I6" i="4"/>
  <c r="H6" i="4"/>
  <c r="G6" i="4"/>
  <c r="L9" i="6" l="1"/>
  <c r="N9" i="6"/>
  <c r="P18" i="4" s="1"/>
  <c r="L18" i="4" s="1"/>
  <c r="M18" i="4" s="1"/>
  <c r="M14" i="4"/>
  <c r="K14" i="4"/>
  <c r="J14" i="4"/>
  <c r="J16" i="4"/>
  <c r="M16" i="4"/>
  <c r="K16" i="4"/>
  <c r="J5" i="4"/>
  <c r="K5" i="4"/>
  <c r="O5" i="4"/>
  <c r="O10" i="4"/>
  <c r="J10" i="4"/>
  <c r="K10" i="4"/>
  <c r="M13" i="4"/>
  <c r="J13" i="4"/>
  <c r="K13" i="4"/>
  <c r="J4" i="4"/>
  <c r="K4" i="4"/>
  <c r="O4" i="4"/>
  <c r="O8" i="4"/>
  <c r="J8" i="4"/>
  <c r="K8" i="4"/>
  <c r="J11" i="4"/>
  <c r="K11" i="4"/>
  <c r="O11" i="4"/>
  <c r="O6" i="4"/>
  <c r="J6" i="4"/>
  <c r="K6" i="4"/>
  <c r="J20" i="4"/>
  <c r="K20" i="4"/>
  <c r="J7" i="4"/>
  <c r="O7" i="4"/>
  <c r="K7" i="4"/>
  <c r="J9" i="4"/>
  <c r="O9" i="4"/>
  <c r="K9" i="4"/>
  <c r="J23" i="4"/>
  <c r="K23" i="4"/>
  <c r="J18" i="4"/>
  <c r="K18" i="4"/>
  <c r="M17" i="4"/>
  <c r="J17" i="4"/>
  <c r="K17" i="4"/>
  <c r="J19" i="4"/>
  <c r="K19" i="4"/>
  <c r="K22" i="4"/>
  <c r="J22" i="4"/>
  <c r="J21" i="4"/>
  <c r="K21" i="4"/>
  <c r="M15" i="4"/>
  <c r="J15" i="4"/>
  <c r="K15" i="4"/>
  <c r="O12" i="4"/>
  <c r="J12" i="4"/>
  <c r="K12" i="4"/>
  <c r="N10" i="6" l="1"/>
  <c r="P19" i="4" s="1"/>
  <c r="L19" i="4" s="1"/>
  <c r="M19" i="4" s="1"/>
  <c r="O10" i="6" s="1"/>
  <c r="L10" i="6"/>
  <c r="N13" i="4"/>
  <c r="O13" i="4" s="1"/>
  <c r="O4" i="6"/>
  <c r="O9" i="6"/>
  <c r="N18" i="4"/>
  <c r="O18" i="4" s="1"/>
  <c r="O5" i="6"/>
  <c r="N14" i="4"/>
  <c r="O14" i="4" s="1"/>
  <c r="O7" i="6"/>
  <c r="N16" i="4"/>
  <c r="O16" i="4" s="1"/>
  <c r="N15" i="4"/>
  <c r="O15" i="4" s="1"/>
  <c r="O6" i="6"/>
  <c r="N17" i="4"/>
  <c r="O17" i="4" s="1"/>
  <c r="O8" i="6"/>
  <c r="N19" i="4" l="1"/>
  <c r="O19" i="4" s="1"/>
  <c r="L11" i="6"/>
  <c r="N11" i="6"/>
  <c r="P20" i="4" s="1"/>
  <c r="L20" i="4" s="1"/>
  <c r="M20" i="4" s="1"/>
  <c r="N20" i="4" l="1"/>
  <c r="O20" i="4" s="1"/>
  <c r="O11" i="6"/>
  <c r="L12" i="6"/>
  <c r="N12" i="6"/>
  <c r="P21" i="4" s="1"/>
  <c r="L21" i="4" s="1"/>
  <c r="M21" i="4" s="1"/>
  <c r="O12" i="6" l="1"/>
  <c r="N21" i="4"/>
  <c r="O21" i="4" s="1"/>
  <c r="N13" i="6"/>
  <c r="P22" i="4" s="1"/>
  <c r="L22" i="4" s="1"/>
  <c r="M22" i="4" s="1"/>
  <c r="L13" i="6"/>
  <c r="N22" i="4" l="1"/>
  <c r="O22" i="4" s="1"/>
  <c r="O13" i="6"/>
  <c r="L14" i="6"/>
  <c r="N14" i="6"/>
  <c r="P23" i="4" s="1"/>
  <c r="L23" i="4" s="1"/>
  <c r="M23" i="4" s="1"/>
  <c r="N23" i="4" l="1"/>
  <c r="O23" i="4" s="1"/>
  <c r="O14" i="6"/>
</calcChain>
</file>

<file path=xl/sharedStrings.xml><?xml version="1.0" encoding="utf-8"?>
<sst xmlns="http://schemas.openxmlformats.org/spreadsheetml/2006/main" count="104" uniqueCount="76">
  <si>
    <t>Там, где красные числа можно подставлять свои значения.</t>
  </si>
  <si>
    <t>кВт</t>
  </si>
  <si>
    <t>Масс.Доля</t>
  </si>
  <si>
    <t xml:space="preserve"> кг/ч</t>
  </si>
  <si>
    <t>л/ч</t>
  </si>
  <si>
    <t>мл/с</t>
  </si>
  <si>
    <t>ФЧ</t>
  </si>
  <si>
    <t>узнать ФЧ</t>
  </si>
  <si>
    <t>Объём жидкости</t>
  </si>
  <si>
    <t>масса пара</t>
  </si>
  <si>
    <t>отбор Л/ч</t>
  </si>
  <si>
    <t>напряжение сети</t>
  </si>
  <si>
    <r>
      <t xml:space="preserve">напряжение в сети </t>
    </r>
    <r>
      <rPr>
        <b/>
        <sz val="14"/>
        <color indexed="56"/>
        <rFont val="Calibri"/>
        <family val="2"/>
        <charset val="204"/>
      </rPr>
      <t>v</t>
    </r>
  </si>
  <si>
    <r>
      <t xml:space="preserve">Напряжение сети </t>
    </r>
    <r>
      <rPr>
        <b/>
        <sz val="16"/>
        <color indexed="8"/>
        <rFont val="Calibri"/>
        <family val="2"/>
        <charset val="204"/>
      </rPr>
      <t>Вольт</t>
    </r>
  </si>
  <si>
    <r>
      <t xml:space="preserve">номинальная мощность ТЭНа в </t>
    </r>
    <r>
      <rPr>
        <b/>
        <sz val="10"/>
        <color indexed="56"/>
        <rFont val="Calibri"/>
        <family val="2"/>
        <charset val="204"/>
      </rPr>
      <t>кВт</t>
    </r>
  </si>
  <si>
    <r>
      <t xml:space="preserve">реальная мощность в </t>
    </r>
    <r>
      <rPr>
        <b/>
        <sz val="14"/>
        <color indexed="8"/>
        <rFont val="Calibri"/>
        <family val="2"/>
        <charset val="204"/>
      </rPr>
      <t>кВт</t>
    </r>
  </si>
  <si>
    <t>,</t>
  </si>
  <si>
    <t>Таблица №1</t>
  </si>
  <si>
    <r>
      <t>сопротивление в ОМ</t>
    </r>
    <r>
      <rPr>
        <b/>
        <sz val="10"/>
        <color indexed="8"/>
        <rFont val="Calibri"/>
        <family val="2"/>
        <charset val="204"/>
      </rPr>
      <t>ах</t>
    </r>
  </si>
  <si>
    <t>Таблица №2</t>
  </si>
  <si>
    <t>+</t>
  </si>
  <si>
    <t>-</t>
  </si>
  <si>
    <t>ом</t>
  </si>
  <si>
    <r>
      <rPr>
        <sz val="10"/>
        <color indexed="8"/>
        <rFont val="Calibri"/>
        <family val="2"/>
        <charset val="204"/>
      </rPr>
      <t xml:space="preserve"> номинальное напряжение ТЭНа </t>
    </r>
    <r>
      <rPr>
        <b/>
        <sz val="10"/>
        <color indexed="8"/>
        <rFont val="Calibri"/>
        <family val="2"/>
        <charset val="204"/>
      </rPr>
      <t>V</t>
    </r>
  </si>
  <si>
    <r>
      <t xml:space="preserve">шаг в </t>
    </r>
    <r>
      <rPr>
        <b/>
        <sz val="14"/>
        <color indexed="8"/>
        <rFont val="Calibri"/>
        <family val="2"/>
        <charset val="204"/>
      </rPr>
      <t>вольт</t>
    </r>
    <r>
      <rPr>
        <sz val="11"/>
        <color indexed="8"/>
        <rFont val="Calibri"/>
        <family val="2"/>
        <charset val="204"/>
      </rPr>
      <t>ах</t>
    </r>
  </si>
  <si>
    <r>
      <rPr>
        <b/>
        <sz val="14"/>
        <rFont val="Calibri"/>
        <family val="2"/>
        <charset val="204"/>
      </rPr>
      <t xml:space="preserve"> t℃   </t>
    </r>
    <r>
      <rPr>
        <b/>
        <sz val="11"/>
        <rFont val="Calibri"/>
        <family val="2"/>
        <charset val="204"/>
      </rPr>
      <t xml:space="preserve"> кипения</t>
    </r>
  </si>
  <si>
    <r>
      <t xml:space="preserve"> Спирта в паре Объёмн</t>
    </r>
    <r>
      <rPr>
        <b/>
        <sz val="14"/>
        <color indexed="19"/>
        <rFont val="Calibri"/>
        <family val="2"/>
        <charset val="204"/>
      </rPr>
      <t xml:space="preserve"> %</t>
    </r>
  </si>
  <si>
    <r>
      <t xml:space="preserve">Реальное Сопротивление ТЭНа в   </t>
    </r>
    <r>
      <rPr>
        <b/>
        <sz val="16"/>
        <color indexed="18"/>
        <rFont val="Calibri"/>
        <family val="2"/>
        <charset val="204"/>
      </rPr>
      <t>Ом</t>
    </r>
    <r>
      <rPr>
        <sz val="10"/>
        <color indexed="18"/>
        <rFont val="Calibri"/>
        <family val="2"/>
        <charset val="204"/>
      </rPr>
      <t>ах</t>
    </r>
  </si>
  <si>
    <r>
      <t xml:space="preserve"> Спирта в баке Объёмн </t>
    </r>
    <r>
      <rPr>
        <b/>
        <sz val="12"/>
        <color indexed="10"/>
        <rFont val="Calibri"/>
        <family val="2"/>
        <charset val="204"/>
      </rPr>
      <t>%</t>
    </r>
  </si>
  <si>
    <t>г /с</t>
  </si>
  <si>
    <t>литр /ч</t>
  </si>
  <si>
    <t>объём пара</t>
  </si>
  <si>
    <r>
      <rPr>
        <sz val="11"/>
        <color indexed="13"/>
        <rFont val="Calibri"/>
        <family val="2"/>
        <charset val="204"/>
      </rPr>
      <t>Мощность в</t>
    </r>
    <r>
      <rPr>
        <b/>
        <sz val="11"/>
        <color indexed="13"/>
        <rFont val="Calibri"/>
        <family val="2"/>
        <charset val="204"/>
      </rPr>
      <t xml:space="preserve"> </t>
    </r>
    <r>
      <rPr>
        <b/>
        <sz val="14"/>
        <color indexed="13"/>
        <rFont val="Calibri"/>
        <family val="2"/>
        <charset val="204"/>
      </rPr>
      <t>кВт</t>
    </r>
  </si>
  <si>
    <t>л/мин</t>
  </si>
  <si>
    <t xml:space="preserve">Концентрация получаемого спирта  </t>
  </si>
  <si>
    <t>Концентрация спирта в паре, равновесном с концентрацией cпирта в питании (кубе)</t>
  </si>
  <si>
    <r>
      <t>ФЧ</t>
    </r>
    <r>
      <rPr>
        <sz val="11"/>
        <color indexed="8"/>
        <rFont val="Calibri"/>
        <family val="2"/>
        <charset val="204"/>
      </rPr>
      <t xml:space="preserve"> min</t>
    </r>
  </si>
  <si>
    <r>
      <t>ФЧ</t>
    </r>
    <r>
      <rPr>
        <sz val="11"/>
        <color indexed="8"/>
        <rFont val="Calibri"/>
        <family val="2"/>
        <charset val="204"/>
      </rPr>
      <t xml:space="preserve"> опт.</t>
    </r>
  </si>
  <si>
    <t>% об.</t>
  </si>
  <si>
    <t>% об</t>
  </si>
  <si>
    <t>Ввести тепловые потери          (в кВт)</t>
  </si>
  <si>
    <t>Рекомендуемое ФЧ              ( см. лист "отбор голов")</t>
  </si>
  <si>
    <t>ºС</t>
  </si>
  <si>
    <t>Здесь показан результат из таблицы №2 (предпочтительнее) с учётом теплопотерь, однако можно ввести любое значение.</t>
  </si>
  <si>
    <t xml:space="preserve">Определяете самостоятельно по следующему листу </t>
  </si>
  <si>
    <t>% мас</t>
  </si>
  <si>
    <t>реальная мощность с учётом теплопотерь</t>
  </si>
  <si>
    <t>Подача СС</t>
  </si>
  <si>
    <t>Введите расход пара кг/кг спирта</t>
  </si>
  <si>
    <t>Подача СС при эпюрации на реальную мощность</t>
  </si>
  <si>
    <t>Рекомендуемый</t>
  </si>
  <si>
    <t>!!! При условии температуры подаваемого</t>
  </si>
  <si>
    <t>СС не менее 75С</t>
  </si>
  <si>
    <t>Введите Крепость CC Об.%</t>
  </si>
  <si>
    <r>
      <t xml:space="preserve">Введите необходимую крепость получаемого продукта в </t>
    </r>
    <r>
      <rPr>
        <b/>
        <sz val="11"/>
        <color indexed="52"/>
        <rFont val="Calibri"/>
        <family val="2"/>
        <charset val="204"/>
      </rPr>
      <t>% об</t>
    </r>
    <r>
      <rPr>
        <b/>
        <sz val="11"/>
        <color indexed="8"/>
        <rFont val="Calibri"/>
        <family val="2"/>
        <charset val="204"/>
      </rPr>
      <t xml:space="preserve">. и соответствующую ей в </t>
    </r>
    <r>
      <rPr>
        <b/>
        <sz val="11"/>
        <color indexed="52"/>
        <rFont val="Calibri"/>
        <family val="2"/>
        <charset val="204"/>
      </rPr>
      <t>% масс</t>
    </r>
  </si>
  <si>
    <t>%масс(Yм)</t>
  </si>
  <si>
    <t>Ведите давление в кубе в мм.рт.ст</t>
  </si>
  <si>
    <t>% масс(Xм)</t>
  </si>
  <si>
    <t xml:space="preserve">Т куба при давлении 760.0 мм.рт.ст. </t>
  </si>
  <si>
    <t>% масc(Xd)</t>
  </si>
  <si>
    <t>Температура в кубе с поправкой на Р куб. и Р атм.</t>
  </si>
  <si>
    <t>Введите  атм. давление в мм.рт ст.</t>
  </si>
  <si>
    <r>
      <t>(Поправка)</t>
    </r>
    <r>
      <rPr>
        <b/>
        <i/>
        <sz val="11"/>
        <rFont val="Calibri"/>
        <family val="2"/>
        <charset val="204"/>
      </rPr>
      <t>ºС</t>
    </r>
  </si>
  <si>
    <r>
      <t xml:space="preserve">Рекомендуемый отбор </t>
    </r>
    <r>
      <rPr>
        <b/>
        <sz val="11"/>
        <color indexed="8"/>
        <rFont val="Calibri"/>
        <family val="2"/>
        <charset val="204"/>
      </rPr>
      <t>л/ч</t>
    </r>
  </si>
  <si>
    <t>Там, где красные цифры - введите нужные Вам значения..</t>
  </si>
  <si>
    <r>
      <t>Коэф. Избытка флегмы. (Рекомендуемый</t>
    </r>
    <r>
      <rPr>
        <b/>
        <sz val="11"/>
        <color indexed="48"/>
        <rFont val="Calibri"/>
        <family val="2"/>
        <charset val="204"/>
      </rPr>
      <t xml:space="preserve"> - 2.0 - 3.0</t>
    </r>
    <r>
      <rPr>
        <b/>
        <sz val="11"/>
        <color indexed="8"/>
        <rFont val="Calibri"/>
        <family val="2"/>
        <charset val="204"/>
      </rPr>
      <t>) подбирается самостоятельно</t>
    </r>
  </si>
  <si>
    <t>Расчёты сделаны Сергей 1972, GrOV с использванием калькулятора Rudy</t>
  </si>
  <si>
    <t xml:space="preserve"> </t>
  </si>
  <si>
    <t>мое от 15 до 20</t>
  </si>
  <si>
    <t>96,8 это 95,01</t>
  </si>
  <si>
    <t>96,2 это 94,14</t>
  </si>
  <si>
    <t>96,3 94,28</t>
  </si>
  <si>
    <t>96,4 94,42</t>
  </si>
  <si>
    <t>96,5 94,57</t>
  </si>
  <si>
    <t>96,6 94,72</t>
  </si>
  <si>
    <t>96,7 94,86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</si>
</sst>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#,##0.00\ _₽"/>
  </numFmts>
  <fonts count="6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13"/>
      <name val="Calibri"/>
      <family val="2"/>
      <charset val="204"/>
    </font>
    <font>
      <b/>
      <sz val="11"/>
      <color indexed="10"/>
      <name val="Arial Cyr"/>
      <charset val="204"/>
    </font>
    <font>
      <b/>
      <sz val="12"/>
      <color indexed="10"/>
      <name val="Arial Cyr"/>
      <charset val="204"/>
    </font>
    <font>
      <b/>
      <sz val="11"/>
      <color indexed="8"/>
      <name val="Calibri"/>
      <family val="2"/>
      <charset val="204"/>
    </font>
    <font>
      <sz val="11"/>
      <color indexed="13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6"/>
      <color indexed="1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56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56"/>
      <name val="Calibri"/>
      <family val="2"/>
      <charset val="204"/>
    </font>
    <font>
      <sz val="10"/>
      <color indexed="18"/>
      <name val="Calibri"/>
      <family val="2"/>
      <charset val="204"/>
    </font>
    <font>
      <b/>
      <sz val="14"/>
      <color indexed="19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2"/>
      <color indexed="56"/>
      <name val="Calibri"/>
      <family val="2"/>
      <charset val="204"/>
    </font>
    <font>
      <b/>
      <sz val="24"/>
      <color indexed="10"/>
      <name val="Calibri"/>
      <family val="2"/>
      <charset val="204"/>
    </font>
    <font>
      <sz val="10"/>
      <color indexed="56"/>
      <name val="Calibri"/>
      <family val="2"/>
      <charset val="204"/>
    </font>
    <font>
      <b/>
      <sz val="20"/>
      <color indexed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6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9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9"/>
      <name val="Calibri"/>
      <family val="2"/>
      <charset val="204"/>
    </font>
    <font>
      <b/>
      <sz val="12"/>
      <color indexed="10"/>
      <name val="Calibri"/>
      <family val="2"/>
      <charset val="204"/>
    </font>
    <font>
      <b/>
      <sz val="11"/>
      <color indexed="59"/>
      <name val="Calibri"/>
      <family val="2"/>
      <charset val="204"/>
    </font>
    <font>
      <b/>
      <sz val="12"/>
      <color indexed="10"/>
      <name val="Calibri"/>
      <family val="2"/>
      <charset val="204"/>
    </font>
    <font>
      <b/>
      <sz val="12"/>
      <color indexed="19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b/>
      <sz val="11"/>
      <color indexed="56"/>
      <name val="Arial Cyr"/>
      <charset val="204"/>
    </font>
    <font>
      <b/>
      <sz val="12"/>
      <color indexed="56"/>
      <name val="Calibri"/>
      <family val="2"/>
      <charset val="204"/>
    </font>
    <font>
      <b/>
      <sz val="18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19"/>
      <name val="Calibri"/>
      <family val="2"/>
      <charset val="204"/>
    </font>
    <font>
      <b/>
      <sz val="14"/>
      <color indexed="13"/>
      <name val="Calibri"/>
      <family val="2"/>
      <charset val="204"/>
    </font>
    <font>
      <sz val="12"/>
      <name val="Times New Roman"/>
      <family val="1"/>
      <charset val="204"/>
    </font>
    <font>
      <b/>
      <sz val="11"/>
      <color indexed="48"/>
      <name val="Calibri"/>
      <family val="2"/>
      <charset val="204"/>
    </font>
    <font>
      <sz val="14"/>
      <color indexed="48"/>
      <name val="Calibri"/>
      <family val="2"/>
      <charset val="204"/>
    </font>
    <font>
      <sz val="12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1"/>
      <color indexed="23"/>
      <name val="Calibri"/>
      <family val="2"/>
      <charset val="204"/>
    </font>
    <font>
      <b/>
      <sz val="14"/>
      <color rgb="FF0070C0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Dashed">
        <color indexed="60"/>
      </left>
      <right/>
      <top style="mediumDashed">
        <color indexed="60"/>
      </top>
      <bottom style="mediumDashed">
        <color indexed="60"/>
      </bottom>
      <diagonal/>
    </border>
    <border>
      <left/>
      <right/>
      <top style="mediumDashed">
        <color indexed="60"/>
      </top>
      <bottom style="mediumDashed">
        <color indexed="60"/>
      </bottom>
      <diagonal/>
    </border>
    <border>
      <left/>
      <right style="mediumDashed">
        <color indexed="60"/>
      </right>
      <top style="mediumDashed">
        <color indexed="60"/>
      </top>
      <bottom style="mediumDashed">
        <color indexed="6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2" fillId="0" borderId="0"/>
  </cellStyleXfs>
  <cellXfs count="268">
    <xf numFmtId="0" fontId="0" fillId="0" borderId="0" xfId="0"/>
    <xf numFmtId="2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/>
    <xf numFmtId="0" fontId="28" fillId="4" borderId="0" xfId="0" applyFont="1" applyFill="1" applyBorder="1" applyAlignment="1">
      <alignment horizontal="center" vertical="center"/>
    </xf>
    <xf numFmtId="0" fontId="28" fillId="5" borderId="0" xfId="0" applyFont="1" applyFill="1" applyBorder="1" applyAlignment="1">
      <alignment horizontal="center" vertical="center"/>
    </xf>
    <xf numFmtId="0" fontId="0" fillId="6" borderId="0" xfId="0" applyFill="1"/>
    <xf numFmtId="0" fontId="29" fillId="6" borderId="0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 wrapText="1" shrinkToFit="1"/>
    </xf>
    <xf numFmtId="2" fontId="4" fillId="0" borderId="0" xfId="0" applyNumberFormat="1" applyFont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center" vertical="center" wrapText="1" shrinkToFit="1"/>
    </xf>
    <xf numFmtId="0" fontId="0" fillId="6" borderId="0" xfId="0" applyFill="1" applyBorder="1" applyAlignment="1">
      <alignment horizontal="center" vertical="center" wrapText="1" shrinkToFit="1"/>
    </xf>
    <xf numFmtId="0" fontId="32" fillId="6" borderId="0" xfId="0" applyFont="1" applyFill="1" applyBorder="1" applyAlignment="1">
      <alignment wrapText="1"/>
    </xf>
    <xf numFmtId="0" fontId="31" fillId="6" borderId="0" xfId="0" applyFont="1" applyFill="1" applyBorder="1" applyAlignment="1">
      <alignment horizontal="right" vertical="center"/>
    </xf>
    <xf numFmtId="0" fontId="31" fillId="8" borderId="5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3" fillId="9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4" borderId="3" xfId="0" applyFont="1" applyFill="1" applyBorder="1" applyAlignment="1">
      <alignment horizontal="center" vertical="center" wrapText="1" shrinkToFit="1"/>
    </xf>
    <xf numFmtId="0" fontId="0" fillId="5" borderId="3" xfId="0" applyFill="1" applyBorder="1" applyAlignment="1">
      <alignment horizontal="center" vertical="center" wrapText="1" shrinkToFit="1"/>
    </xf>
    <xf numFmtId="0" fontId="35" fillId="10" borderId="6" xfId="0" applyFont="1" applyFill="1" applyBorder="1" applyAlignment="1">
      <alignment horizontal="center" vertical="center"/>
    </xf>
    <xf numFmtId="0" fontId="36" fillId="10" borderId="7" xfId="0" applyFont="1" applyFill="1" applyBorder="1" applyAlignment="1">
      <alignment horizontal="center" vertical="center"/>
    </xf>
    <xf numFmtId="164" fontId="37" fillId="11" borderId="8" xfId="0" applyNumberFormat="1" applyFont="1" applyFill="1" applyBorder="1" applyAlignment="1">
      <alignment horizontal="center" vertical="center"/>
    </xf>
    <xf numFmtId="164" fontId="35" fillId="6" borderId="9" xfId="0" applyNumberFormat="1" applyFont="1" applyFill="1" applyBorder="1" applyAlignment="1">
      <alignment horizontal="center"/>
    </xf>
    <xf numFmtId="164" fontId="35" fillId="12" borderId="9" xfId="0" applyNumberFormat="1" applyFont="1" applyFill="1" applyBorder="1" applyAlignment="1">
      <alignment horizontal="center"/>
    </xf>
    <xf numFmtId="2" fontId="2" fillId="9" borderId="2" xfId="0" applyNumberFormat="1" applyFont="1" applyFill="1" applyBorder="1" applyAlignment="1">
      <alignment horizontal="center"/>
    </xf>
    <xf numFmtId="164" fontId="2" fillId="7" borderId="2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164" fontId="2" fillId="13" borderId="10" xfId="0" applyNumberFormat="1" applyFont="1" applyFill="1" applyBorder="1" applyAlignment="1">
      <alignment horizontal="center"/>
    </xf>
    <xf numFmtId="164" fontId="2" fillId="13" borderId="1" xfId="0" applyNumberFormat="1" applyFont="1" applyFill="1" applyBorder="1" applyAlignment="1">
      <alignment horizontal="center"/>
    </xf>
    <xf numFmtId="2" fontId="2" fillId="13" borderId="2" xfId="0" applyNumberFormat="1" applyFont="1" applyFill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/>
    <xf numFmtId="0" fontId="26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38" fillId="10" borderId="11" xfId="0" applyFont="1" applyFill="1" applyBorder="1" applyAlignment="1">
      <alignment horizontal="center" vertical="center"/>
    </xf>
    <xf numFmtId="164" fontId="39" fillId="11" borderId="12" xfId="0" applyNumberFormat="1" applyFont="1" applyFill="1" applyBorder="1" applyAlignment="1">
      <alignment horizontal="center"/>
    </xf>
    <xf numFmtId="0" fontId="26" fillId="10" borderId="13" xfId="0" applyFont="1" applyFill="1" applyBorder="1" applyAlignment="1">
      <alignment horizontal="center" vertical="center"/>
    </xf>
    <xf numFmtId="164" fontId="26" fillId="9" borderId="0" xfId="0" applyNumberFormat="1" applyFont="1" applyFill="1" applyBorder="1" applyAlignment="1">
      <alignment horizontal="center" vertical="center"/>
    </xf>
    <xf numFmtId="164" fontId="26" fillId="6" borderId="0" xfId="0" applyNumberFormat="1" applyFont="1" applyFill="1" applyBorder="1" applyAlignment="1">
      <alignment horizontal="center" vertical="center"/>
    </xf>
    <xf numFmtId="164" fontId="6" fillId="5" borderId="0" xfId="0" applyNumberFormat="1" applyFont="1" applyFill="1" applyBorder="1" applyAlignment="1">
      <alignment horizontal="center" vertical="center"/>
    </xf>
    <xf numFmtId="164" fontId="6" fillId="8" borderId="0" xfId="0" applyNumberFormat="1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0" fontId="26" fillId="14" borderId="15" xfId="0" applyFont="1" applyFill="1" applyBorder="1" applyAlignment="1">
      <alignment horizontal="center" vertical="center" wrapText="1"/>
    </xf>
    <xf numFmtId="0" fontId="41" fillId="15" borderId="15" xfId="0" applyFont="1" applyFill="1" applyBorder="1" applyAlignment="1">
      <alignment horizontal="center" vertical="center" wrapText="1"/>
    </xf>
    <xf numFmtId="164" fontId="42" fillId="6" borderId="9" xfId="0" applyNumberFormat="1" applyFont="1" applyFill="1" applyBorder="1" applyAlignment="1">
      <alignment horizontal="center"/>
    </xf>
    <xf numFmtId="165" fontId="17" fillId="12" borderId="16" xfId="0" applyNumberFormat="1" applyFont="1" applyFill="1" applyBorder="1" applyAlignment="1">
      <alignment horizontal="center" vertical="center"/>
    </xf>
    <xf numFmtId="165" fontId="43" fillId="12" borderId="16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2" fontId="44" fillId="2" borderId="0" xfId="0" applyNumberFormat="1" applyFont="1" applyFill="1"/>
    <xf numFmtId="164" fontId="42" fillId="12" borderId="9" xfId="0" applyNumberFormat="1" applyFont="1" applyFill="1" applyBorder="1" applyAlignment="1">
      <alignment horizontal="center"/>
    </xf>
    <xf numFmtId="165" fontId="17" fillId="16" borderId="1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8" fillId="16" borderId="17" xfId="0" applyFont="1" applyFill="1" applyBorder="1" applyAlignment="1">
      <alignment horizontal="center" vertical="center" wrapText="1" shrinkToFit="1"/>
    </xf>
    <xf numFmtId="0" fontId="8" fillId="16" borderId="5" xfId="0" applyFont="1" applyFill="1" applyBorder="1" applyAlignment="1">
      <alignment horizontal="center" vertical="center" wrapText="1" shrinkToFit="1"/>
    </xf>
    <xf numFmtId="164" fontId="2" fillId="17" borderId="1" xfId="0" applyNumberFormat="1" applyFont="1" applyFill="1" applyBorder="1" applyAlignment="1">
      <alignment horizontal="center"/>
    </xf>
    <xf numFmtId="164" fontId="8" fillId="4" borderId="18" xfId="0" applyNumberFormat="1" applyFont="1" applyFill="1" applyBorder="1"/>
    <xf numFmtId="164" fontId="2" fillId="9" borderId="10" xfId="0" applyNumberFormat="1" applyFont="1" applyFill="1" applyBorder="1" applyAlignment="1">
      <alignment horizontal="center"/>
    </xf>
    <xf numFmtId="164" fontId="2" fillId="13" borderId="19" xfId="0" applyNumberFormat="1" applyFont="1" applyFill="1" applyBorder="1" applyAlignment="1">
      <alignment horizontal="center"/>
    </xf>
    <xf numFmtId="0" fontId="2" fillId="17" borderId="14" xfId="0" applyFont="1" applyFill="1" applyBorder="1" applyAlignment="1">
      <alignment horizontal="center" wrapText="1"/>
    </xf>
    <xf numFmtId="0" fontId="2" fillId="17" borderId="20" xfId="0" applyFont="1" applyFill="1" applyBorder="1" applyAlignment="1">
      <alignment horizontal="center" vertical="center"/>
    </xf>
    <xf numFmtId="0" fontId="2" fillId="17" borderId="21" xfId="0" applyFont="1" applyFill="1" applyBorder="1" applyAlignment="1">
      <alignment horizontal="center" vertical="center"/>
    </xf>
    <xf numFmtId="2" fontId="2" fillId="17" borderId="22" xfId="0" applyNumberFormat="1" applyFont="1" applyFill="1" applyBorder="1" applyAlignment="1">
      <alignment horizontal="center"/>
    </xf>
    <xf numFmtId="2" fontId="2" fillId="13" borderId="22" xfId="0" applyNumberFormat="1" applyFont="1" applyFill="1" applyBorder="1" applyAlignment="1">
      <alignment horizontal="center"/>
    </xf>
    <xf numFmtId="2" fontId="2" fillId="13" borderId="23" xfId="0" applyNumberFormat="1" applyFont="1" applyFill="1" applyBorder="1" applyAlignment="1">
      <alignment horizontal="center"/>
    </xf>
    <xf numFmtId="0" fontId="26" fillId="17" borderId="24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5" fontId="43" fillId="6" borderId="16" xfId="0" applyNumberFormat="1" applyFont="1" applyFill="1" applyBorder="1" applyAlignment="1">
      <alignment horizontal="center" vertical="center"/>
    </xf>
    <xf numFmtId="164" fontId="8" fillId="12" borderId="18" xfId="0" applyNumberFormat="1" applyFont="1" applyFill="1" applyBorder="1"/>
    <xf numFmtId="2" fontId="26" fillId="17" borderId="9" xfId="0" applyNumberFormat="1" applyFont="1" applyFill="1" applyBorder="1" applyAlignment="1">
      <alignment horizontal="center" vertical="center"/>
    </xf>
    <xf numFmtId="2" fontId="26" fillId="12" borderId="9" xfId="0" applyNumberFormat="1" applyFont="1" applyFill="1" applyBorder="1" applyAlignment="1">
      <alignment horizontal="center" vertical="center"/>
    </xf>
    <xf numFmtId="2" fontId="26" fillId="12" borderId="25" xfId="0" applyNumberFormat="1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164" fontId="2" fillId="9" borderId="27" xfId="0" applyNumberFormat="1" applyFont="1" applyFill="1" applyBorder="1" applyAlignment="1">
      <alignment horizontal="center"/>
    </xf>
    <xf numFmtId="2" fontId="0" fillId="9" borderId="28" xfId="0" applyNumberFormat="1" applyFill="1" applyBorder="1" applyAlignment="1">
      <alignment horizontal="center"/>
    </xf>
    <xf numFmtId="2" fontId="0" fillId="9" borderId="10" xfId="0" applyNumberFormat="1" applyFill="1" applyBorder="1" applyAlignment="1">
      <alignment horizontal="center"/>
    </xf>
    <xf numFmtId="4" fontId="0" fillId="0" borderId="0" xfId="0" applyNumberFormat="1"/>
    <xf numFmtId="2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164" fontId="2" fillId="7" borderId="29" xfId="0" applyNumberFormat="1" applyFont="1" applyFill="1" applyBorder="1" applyAlignment="1">
      <alignment horizontal="center"/>
    </xf>
    <xf numFmtId="0" fontId="0" fillId="18" borderId="17" xfId="0" applyFill="1" applyBorder="1" applyAlignment="1">
      <alignment horizontal="center"/>
    </xf>
    <xf numFmtId="0" fontId="0" fillId="18" borderId="30" xfId="0" applyFill="1" applyBorder="1" applyAlignment="1">
      <alignment horizontal="center"/>
    </xf>
    <xf numFmtId="0" fontId="2" fillId="9" borderId="31" xfId="0" applyFont="1" applyFill="1" applyBorder="1" applyAlignment="1">
      <alignment horizontal="center" vertical="center"/>
    </xf>
    <xf numFmtId="0" fontId="2" fillId="9" borderId="3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justify" wrapText="1"/>
    </xf>
    <xf numFmtId="2" fontId="9" fillId="3" borderId="1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24" fillId="0" borderId="0" xfId="0" applyFont="1"/>
    <xf numFmtId="2" fontId="2" fillId="10" borderId="14" xfId="0" applyNumberFormat="1" applyFont="1" applyFill="1" applyBorder="1" applyAlignment="1">
      <alignment horizontal="center"/>
    </xf>
    <xf numFmtId="0" fontId="0" fillId="0" borderId="0" xfId="0" applyBorder="1" applyAlignment="1"/>
    <xf numFmtId="0" fontId="31" fillId="8" borderId="14" xfId="0" applyFont="1" applyFill="1" applyBorder="1" applyAlignment="1">
      <alignment horizontal="center" vertical="center" wrapText="1"/>
    </xf>
    <xf numFmtId="0" fontId="31" fillId="8" borderId="14" xfId="0" applyFont="1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 wrapText="1"/>
    </xf>
    <xf numFmtId="4" fontId="53" fillId="9" borderId="22" xfId="0" applyNumberFormat="1" applyFont="1" applyFill="1" applyBorder="1" applyAlignment="1">
      <alignment horizontal="center"/>
    </xf>
    <xf numFmtId="2" fontId="2" fillId="19" borderId="14" xfId="0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/>
    </xf>
    <xf numFmtId="0" fontId="55" fillId="10" borderId="5" xfId="0" applyFont="1" applyFill="1" applyBorder="1" applyAlignment="1">
      <alignment horizontal="center" vertical="top"/>
    </xf>
    <xf numFmtId="0" fontId="55" fillId="10" borderId="33" xfId="0" applyFont="1" applyFill="1" applyBorder="1"/>
    <xf numFmtId="0" fontId="55" fillId="10" borderId="34" xfId="0" applyFont="1" applyFill="1" applyBorder="1"/>
    <xf numFmtId="4" fontId="0" fillId="0" borderId="0" xfId="0" applyNumberFormat="1" applyFill="1"/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55" fillId="0" borderId="0" xfId="0" applyFont="1" applyFill="1" applyAlignment="1">
      <alignment horizontal="right"/>
    </xf>
    <xf numFmtId="0" fontId="2" fillId="0" borderId="0" xfId="0" applyFont="1" applyFill="1" applyAlignment="1"/>
    <xf numFmtId="0" fontId="0" fillId="0" borderId="0" xfId="0" applyFill="1" applyAlignment="1">
      <alignment horizontal="left"/>
    </xf>
    <xf numFmtId="0" fontId="2" fillId="7" borderId="35" xfId="0" applyFont="1" applyFill="1" applyBorder="1" applyAlignment="1">
      <alignment horizontal="center" vertical="center"/>
    </xf>
    <xf numFmtId="164" fontId="2" fillId="10" borderId="2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Fill="1" applyAlignment="1"/>
    <xf numFmtId="0" fontId="0" fillId="9" borderId="36" xfId="0" applyFill="1" applyBorder="1" applyAlignment="1">
      <alignment horizontal="center"/>
    </xf>
    <xf numFmtId="0" fontId="0" fillId="18" borderId="37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18" borderId="28" xfId="0" applyFill="1" applyBorder="1" applyAlignment="1">
      <alignment horizontal="center"/>
    </xf>
    <xf numFmtId="167" fontId="0" fillId="9" borderId="28" xfId="0" applyNumberFormat="1" applyFill="1" applyBorder="1" applyAlignment="1">
      <alignment horizontal="center"/>
    </xf>
    <xf numFmtId="167" fontId="0" fillId="18" borderId="28" xfId="0" applyNumberFormat="1" applyFill="1" applyBorder="1" applyAlignment="1">
      <alignment horizontal="center"/>
    </xf>
    <xf numFmtId="4" fontId="58" fillId="9" borderId="14" xfId="0" applyNumberFormat="1" applyFont="1" applyFill="1" applyBorder="1" applyAlignment="1">
      <alignment horizontal="center"/>
    </xf>
    <xf numFmtId="4" fontId="53" fillId="9" borderId="3" xfId="0" applyNumberFormat="1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center"/>
    </xf>
    <xf numFmtId="4" fontId="2" fillId="18" borderId="15" xfId="0" applyNumberFormat="1" applyFont="1" applyFill="1" applyBorder="1" applyAlignment="1">
      <alignment horizontal="center"/>
    </xf>
    <xf numFmtId="4" fontId="2" fillId="9" borderId="15" xfId="0" applyNumberFormat="1" applyFont="1" applyFill="1" applyBorder="1" applyAlignment="1">
      <alignment horizontal="center"/>
    </xf>
    <xf numFmtId="4" fontId="2" fillId="9" borderId="39" xfId="0" applyNumberFormat="1" applyFont="1" applyFill="1" applyBorder="1" applyAlignment="1">
      <alignment horizontal="center"/>
    </xf>
    <xf numFmtId="4" fontId="59" fillId="9" borderId="3" xfId="0" applyNumberFormat="1" applyFont="1" applyFill="1" applyBorder="1" applyAlignment="1">
      <alignment horizontal="center"/>
    </xf>
    <xf numFmtId="4" fontId="2" fillId="19" borderId="28" xfId="0" applyNumberFormat="1" applyFont="1" applyFill="1" applyBorder="1" applyAlignment="1">
      <alignment horizontal="center" wrapText="1"/>
    </xf>
    <xf numFmtId="4" fontId="2" fillId="19" borderId="28" xfId="0" applyNumberFormat="1" applyFont="1" applyFill="1" applyBorder="1" applyAlignment="1">
      <alignment horizontal="center" vertical="distributed"/>
    </xf>
    <xf numFmtId="165" fontId="2" fillId="9" borderId="15" xfId="0" applyNumberFormat="1" applyFont="1" applyFill="1" applyBorder="1" applyAlignment="1">
      <alignment horizontal="center"/>
    </xf>
    <xf numFmtId="165" fontId="2" fillId="9" borderId="39" xfId="0" applyNumberFormat="1" applyFont="1" applyFill="1" applyBorder="1" applyAlignment="1">
      <alignment horizontal="center"/>
    </xf>
    <xf numFmtId="4" fontId="2" fillId="19" borderId="3" xfId="0" applyNumberFormat="1" applyFont="1" applyFill="1" applyBorder="1" applyAlignment="1">
      <alignment horizontal="center" vertical="distributed"/>
    </xf>
    <xf numFmtId="3" fontId="57" fillId="19" borderId="38" xfId="0" applyNumberFormat="1" applyFont="1" applyFill="1" applyBorder="1" applyAlignment="1">
      <alignment horizontal="center"/>
    </xf>
    <xf numFmtId="166" fontId="57" fillId="19" borderId="39" xfId="0" applyNumberFormat="1" applyFont="1" applyFill="1" applyBorder="1" applyAlignment="1">
      <alignment horizontal="center"/>
    </xf>
    <xf numFmtId="4" fontId="58" fillId="9" borderId="14" xfId="0" applyNumberFormat="1" applyFont="1" applyFill="1" applyBorder="1" applyAlignment="1">
      <alignment horizontal="center" vertical="distributed"/>
    </xf>
    <xf numFmtId="0" fontId="2" fillId="19" borderId="3" xfId="0" applyFont="1" applyFill="1" applyBorder="1" applyAlignment="1">
      <alignment horizontal="center" vertical="center" wrapText="1"/>
    </xf>
    <xf numFmtId="2" fontId="15" fillId="19" borderId="4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2" fontId="27" fillId="7" borderId="38" xfId="0" applyNumberFormat="1" applyFont="1" applyFill="1" applyBorder="1" applyAlignment="1">
      <alignment horizontal="center" vertical="center"/>
    </xf>
    <xf numFmtId="2" fontId="27" fillId="7" borderId="10" xfId="0" applyNumberFormat="1" applyFont="1" applyFill="1" applyBorder="1" applyAlignment="1">
      <alignment horizontal="center"/>
    </xf>
    <xf numFmtId="2" fontId="27" fillId="8" borderId="10" xfId="0" applyNumberFormat="1" applyFont="1" applyFill="1" applyBorder="1" applyAlignment="1">
      <alignment horizontal="center"/>
    </xf>
    <xf numFmtId="2" fontId="27" fillId="7" borderId="36" xfId="0" applyNumberFormat="1" applyFont="1" applyFill="1" applyBorder="1" applyAlignment="1">
      <alignment horizontal="center"/>
    </xf>
    <xf numFmtId="2" fontId="27" fillId="10" borderId="14" xfId="0" applyNumberFormat="1" applyFont="1" applyFill="1" applyBorder="1" applyAlignment="1">
      <alignment horizontal="center"/>
    </xf>
    <xf numFmtId="2" fontId="27" fillId="8" borderId="14" xfId="0" applyNumberFormat="1" applyFont="1" applyFill="1" applyBorder="1" applyAlignment="1">
      <alignment horizontal="center"/>
    </xf>
    <xf numFmtId="4" fontId="60" fillId="0" borderId="0" xfId="0" applyNumberFormat="1" applyFont="1"/>
    <xf numFmtId="0" fontId="60" fillId="0" borderId="0" xfId="0" applyFont="1"/>
    <xf numFmtId="0" fontId="0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23" fillId="9" borderId="40" xfId="0" applyNumberFormat="1" applyFont="1" applyFill="1" applyBorder="1" applyAlignment="1">
      <alignment horizontal="center"/>
    </xf>
    <xf numFmtId="2" fontId="23" fillId="9" borderId="51" xfId="0" applyNumberFormat="1" applyFont="1" applyFill="1" applyBorder="1" applyAlignment="1"/>
    <xf numFmtId="0" fontId="55" fillId="10" borderId="17" xfId="0" applyFont="1" applyFill="1" applyBorder="1" applyAlignment="1">
      <alignment horizontal="center" vertical="center"/>
    </xf>
    <xf numFmtId="0" fontId="55" fillId="0" borderId="30" xfId="0" applyFont="1" applyBorder="1" applyAlignment="1"/>
    <xf numFmtId="0" fontId="24" fillId="11" borderId="52" xfId="0" applyFont="1" applyFill="1" applyBorder="1" applyAlignment="1">
      <alignment horizontal="center" vertical="center" wrapText="1"/>
    </xf>
    <xf numFmtId="0" fontId="24" fillId="11" borderId="26" xfId="0" applyFont="1" applyFill="1" applyBorder="1" applyAlignment="1">
      <alignment horizontal="center" vertical="center" wrapText="1"/>
    </xf>
    <xf numFmtId="0" fontId="24" fillId="11" borderId="31" xfId="0" applyFont="1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53" xfId="0" applyFont="1" applyFill="1" applyBorder="1" applyAlignment="1">
      <alignment horizontal="center" vertical="center" wrapText="1"/>
    </xf>
    <xf numFmtId="0" fontId="24" fillId="11" borderId="54" xfId="0" applyFont="1" applyFill="1" applyBorder="1" applyAlignment="1">
      <alignment horizontal="center" vertical="center" wrapText="1"/>
    </xf>
    <xf numFmtId="0" fontId="55" fillId="10" borderId="52" xfId="0" applyFont="1" applyFill="1" applyBorder="1" applyAlignment="1">
      <alignment horizontal="center" vertical="center" wrapText="1"/>
    </xf>
    <xf numFmtId="0" fontId="55" fillId="10" borderId="31" xfId="0" applyFont="1" applyFill="1" applyBorder="1" applyAlignment="1">
      <alignment horizontal="center" vertical="center" wrapText="1"/>
    </xf>
    <xf numFmtId="0" fontId="55" fillId="10" borderId="34" xfId="0" applyFont="1" applyFill="1" applyBorder="1" applyAlignment="1">
      <alignment horizontal="center" vertical="center" wrapText="1"/>
    </xf>
    <xf numFmtId="0" fontId="55" fillId="10" borderId="54" xfId="0" applyFont="1" applyFill="1" applyBorder="1" applyAlignment="1">
      <alignment horizontal="center" vertical="center" wrapText="1"/>
    </xf>
    <xf numFmtId="0" fontId="58" fillId="9" borderId="40" xfId="0" applyFont="1" applyFill="1" applyBorder="1" applyAlignment="1">
      <alignment horizontal="center" vertical="center"/>
    </xf>
    <xf numFmtId="0" fontId="58" fillId="9" borderId="51" xfId="0" applyFont="1" applyFill="1" applyBorder="1" applyAlignment="1">
      <alignment horizontal="center" vertical="center"/>
    </xf>
    <xf numFmtId="0" fontId="55" fillId="10" borderId="52" xfId="0" applyFont="1" applyFill="1" applyBorder="1" applyAlignment="1">
      <alignment horizontal="center" vertical="justify"/>
    </xf>
    <xf numFmtId="0" fontId="55" fillId="10" borderId="31" xfId="0" applyFont="1" applyFill="1" applyBorder="1" applyAlignment="1">
      <alignment horizontal="center" vertical="justify"/>
    </xf>
    <xf numFmtId="0" fontId="55" fillId="10" borderId="34" xfId="0" applyFont="1" applyFill="1" applyBorder="1" applyAlignment="1">
      <alignment horizontal="center" vertical="justify"/>
    </xf>
    <xf numFmtId="0" fontId="55" fillId="10" borderId="54" xfId="0" applyFont="1" applyFill="1" applyBorder="1" applyAlignment="1">
      <alignment horizontal="center" vertical="justify"/>
    </xf>
    <xf numFmtId="0" fontId="45" fillId="14" borderId="40" xfId="0" applyFont="1" applyFill="1" applyBorder="1" applyAlignment="1">
      <alignment horizontal="center" vertical="center" wrapText="1"/>
    </xf>
    <xf numFmtId="0" fontId="45" fillId="14" borderId="42" xfId="0" applyFont="1" applyFill="1" applyBorder="1" applyAlignment="1">
      <alignment horizontal="center" vertical="center" wrapText="1"/>
    </xf>
    <xf numFmtId="0" fontId="45" fillId="14" borderId="51" xfId="0" applyFont="1" applyFill="1" applyBorder="1" applyAlignment="1">
      <alignment horizontal="center" vertical="center" wrapText="1"/>
    </xf>
    <xf numFmtId="2" fontId="31" fillId="14" borderId="40" xfId="0" applyNumberFormat="1" applyFont="1" applyFill="1" applyBorder="1" applyAlignment="1">
      <alignment horizontal="center" vertical="center"/>
    </xf>
    <xf numFmtId="0" fontId="31" fillId="14" borderId="42" xfId="0" applyFont="1" applyFill="1" applyBorder="1" applyAlignment="1">
      <alignment horizontal="center" vertical="center"/>
    </xf>
    <xf numFmtId="0" fontId="31" fillId="14" borderId="51" xfId="0" applyFont="1" applyFill="1" applyBorder="1" applyAlignment="1">
      <alignment horizontal="center" vertical="center"/>
    </xf>
    <xf numFmtId="2" fontId="46" fillId="0" borderId="52" xfId="0" applyNumberFormat="1" applyFont="1" applyBorder="1" applyAlignment="1">
      <alignment horizontal="center" vertical="center" wrapText="1"/>
    </xf>
    <xf numFmtId="2" fontId="46" fillId="0" borderId="26" xfId="0" applyNumberFormat="1" applyFont="1" applyBorder="1" applyAlignment="1">
      <alignment horizontal="center" vertical="center" wrapText="1"/>
    </xf>
    <xf numFmtId="2" fontId="46" fillId="0" borderId="31" xfId="0" applyNumberFormat="1" applyFont="1" applyBorder="1" applyAlignment="1">
      <alignment horizontal="center" vertical="center" wrapText="1"/>
    </xf>
    <xf numFmtId="0" fontId="47" fillId="6" borderId="40" xfId="0" applyFont="1" applyFill="1" applyBorder="1" applyAlignment="1">
      <alignment horizontal="center" vertical="center"/>
    </xf>
    <xf numFmtId="0" fontId="47" fillId="6" borderId="42" xfId="0" applyFont="1" applyFill="1" applyBorder="1" applyAlignment="1">
      <alignment horizontal="center" vertical="center"/>
    </xf>
    <xf numFmtId="0" fontId="47" fillId="6" borderId="51" xfId="0" applyFont="1" applyFill="1" applyBorder="1" applyAlignment="1">
      <alignment horizontal="center" vertical="center"/>
    </xf>
    <xf numFmtId="0" fontId="24" fillId="11" borderId="43" xfId="0" applyFont="1" applyFill="1" applyBorder="1" applyAlignment="1">
      <alignment horizontal="center" wrapText="1"/>
    </xf>
    <xf numFmtId="0" fontId="24" fillId="11" borderId="44" xfId="0" applyFont="1" applyFill="1" applyBorder="1" applyAlignment="1">
      <alignment horizontal="center" wrapText="1"/>
    </xf>
    <xf numFmtId="0" fontId="24" fillId="11" borderId="45" xfId="0" applyFont="1" applyFill="1" applyBorder="1" applyAlignment="1">
      <alignment horizontal="center" wrapText="1"/>
    </xf>
    <xf numFmtId="0" fontId="24" fillId="11" borderId="46" xfId="0" applyFont="1" applyFill="1" applyBorder="1" applyAlignment="1">
      <alignment horizontal="center" wrapText="1"/>
    </xf>
    <xf numFmtId="0" fontId="24" fillId="11" borderId="47" xfId="0" applyFont="1" applyFill="1" applyBorder="1" applyAlignment="1">
      <alignment horizontal="center" wrapText="1"/>
    </xf>
    <xf numFmtId="0" fontId="24" fillId="11" borderId="48" xfId="0" applyFont="1" applyFill="1" applyBorder="1" applyAlignment="1">
      <alignment horizontal="center" wrapText="1"/>
    </xf>
    <xf numFmtId="2" fontId="48" fillId="13" borderId="49" xfId="0" applyNumberFormat="1" applyFont="1" applyFill="1" applyBorder="1" applyAlignment="1">
      <alignment horizontal="center" vertical="center"/>
    </xf>
    <xf numFmtId="2" fontId="48" fillId="13" borderId="50" xfId="0" applyNumberFormat="1" applyFont="1" applyFill="1" applyBorder="1" applyAlignment="1">
      <alignment horizontal="center" vertical="center"/>
    </xf>
    <xf numFmtId="2" fontId="48" fillId="13" borderId="41" xfId="0" applyNumberFormat="1" applyFont="1" applyFill="1" applyBorder="1" applyAlignment="1">
      <alignment horizontal="center" vertical="center"/>
    </xf>
    <xf numFmtId="0" fontId="40" fillId="10" borderId="49" xfId="0" applyFont="1" applyFill="1" applyBorder="1" applyAlignment="1">
      <alignment horizontal="center" wrapText="1"/>
    </xf>
    <xf numFmtId="0" fontId="40" fillId="10" borderId="50" xfId="0" applyFont="1" applyFill="1" applyBorder="1" applyAlignment="1">
      <alignment horizontal="center" wrapText="1"/>
    </xf>
    <xf numFmtId="0" fontId="40" fillId="10" borderId="41" xfId="0" applyFont="1" applyFill="1" applyBorder="1" applyAlignment="1">
      <alignment horizontal="center" wrapText="1"/>
    </xf>
    <xf numFmtId="2" fontId="4" fillId="0" borderId="0" xfId="0" applyNumberFormat="1" applyFont="1" applyBorder="1" applyAlignment="1">
      <alignment horizontal="center" vertical="center" wrapText="1"/>
    </xf>
    <xf numFmtId="164" fontId="48" fillId="13" borderId="49" xfId="0" applyNumberFormat="1" applyFont="1" applyFill="1" applyBorder="1" applyAlignment="1">
      <alignment horizontal="center" vertical="center"/>
    </xf>
    <xf numFmtId="0" fontId="48" fillId="13" borderId="50" xfId="0" applyFont="1" applyFill="1" applyBorder="1" applyAlignment="1">
      <alignment horizontal="center" vertical="center"/>
    </xf>
    <xf numFmtId="0" fontId="48" fillId="13" borderId="41" xfId="0" applyFont="1" applyFill="1" applyBorder="1" applyAlignment="1">
      <alignment horizontal="center" vertical="center"/>
    </xf>
    <xf numFmtId="0" fontId="24" fillId="11" borderId="43" xfId="0" applyFont="1" applyFill="1" applyBorder="1" applyAlignment="1">
      <alignment horizontal="center" vertical="center" wrapText="1"/>
    </xf>
    <xf numFmtId="0" fontId="24" fillId="11" borderId="44" xfId="0" applyFont="1" applyFill="1" applyBorder="1" applyAlignment="1">
      <alignment horizontal="center" vertical="center" wrapText="1"/>
    </xf>
    <xf numFmtId="0" fontId="24" fillId="11" borderId="45" xfId="0" applyFont="1" applyFill="1" applyBorder="1" applyAlignment="1">
      <alignment horizontal="center" vertical="center" wrapText="1"/>
    </xf>
    <xf numFmtId="0" fontId="24" fillId="11" borderId="46" xfId="0" applyFont="1" applyFill="1" applyBorder="1" applyAlignment="1">
      <alignment horizontal="center" vertical="center" wrapText="1"/>
    </xf>
    <xf numFmtId="0" fontId="24" fillId="11" borderId="47" xfId="0" applyFont="1" applyFill="1" applyBorder="1" applyAlignment="1">
      <alignment horizontal="center" vertical="center" wrapText="1"/>
    </xf>
    <xf numFmtId="0" fontId="24" fillId="11" borderId="48" xfId="0" applyFont="1" applyFill="1" applyBorder="1" applyAlignment="1">
      <alignment horizontal="center" vertical="center" wrapText="1"/>
    </xf>
    <xf numFmtId="0" fontId="40" fillId="10" borderId="49" xfId="0" applyFont="1" applyFill="1" applyBorder="1" applyAlignment="1">
      <alignment horizontal="center" vertical="center" wrapText="1"/>
    </xf>
    <xf numFmtId="0" fontId="40" fillId="10" borderId="50" xfId="0" applyFont="1" applyFill="1" applyBorder="1" applyAlignment="1">
      <alignment horizontal="center" vertical="center" wrapText="1"/>
    </xf>
    <xf numFmtId="0" fontId="40" fillId="10" borderId="41" xfId="0" applyFont="1" applyFill="1" applyBorder="1" applyAlignment="1">
      <alignment horizontal="center" vertical="center" wrapText="1"/>
    </xf>
    <xf numFmtId="0" fontId="10" fillId="12" borderId="40" xfId="0" applyFont="1" applyFill="1" applyBorder="1" applyAlignment="1">
      <alignment horizontal="center"/>
    </xf>
    <xf numFmtId="0" fontId="10" fillId="12" borderId="42" xfId="0" applyFont="1" applyFill="1" applyBorder="1" applyAlignment="1">
      <alignment horizontal="center"/>
    </xf>
    <xf numFmtId="0" fontId="10" fillId="12" borderId="51" xfId="0" applyFont="1" applyFill="1" applyBorder="1" applyAlignment="1">
      <alignment horizontal="center"/>
    </xf>
    <xf numFmtId="0" fontId="2" fillId="17" borderId="40" xfId="0" applyFont="1" applyFill="1" applyBorder="1" applyAlignment="1">
      <alignment horizontal="center"/>
    </xf>
    <xf numFmtId="0" fontId="2" fillId="17" borderId="51" xfId="0" applyFont="1" applyFill="1" applyBorder="1" applyAlignment="1">
      <alignment horizontal="center"/>
    </xf>
    <xf numFmtId="0" fontId="6" fillId="7" borderId="52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2" fontId="5" fillId="0" borderId="40" xfId="0" applyNumberFormat="1" applyFont="1" applyBorder="1" applyAlignment="1">
      <alignment horizontal="center" vertical="center" wrapText="1"/>
    </xf>
    <xf numFmtId="2" fontId="5" fillId="0" borderId="42" xfId="0" applyNumberFormat="1" applyFont="1" applyBorder="1" applyAlignment="1">
      <alignment horizontal="center" vertical="center" wrapText="1"/>
    </xf>
    <xf numFmtId="2" fontId="5" fillId="0" borderId="51" xfId="0" applyNumberFormat="1" applyFont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9" borderId="51" xfId="0" applyFont="1" applyFill="1" applyBorder="1" applyAlignment="1">
      <alignment horizontal="center"/>
    </xf>
    <xf numFmtId="0" fontId="49" fillId="12" borderId="17" xfId="0" applyFont="1" applyFill="1" applyBorder="1" applyAlignment="1">
      <alignment horizontal="center" vertical="center"/>
    </xf>
    <xf numFmtId="0" fontId="49" fillId="12" borderId="5" xfId="0" applyFont="1" applyFill="1" applyBorder="1" applyAlignment="1">
      <alignment horizontal="center" vertical="center"/>
    </xf>
    <xf numFmtId="0" fontId="50" fillId="12" borderId="17" xfId="0" applyFont="1" applyFill="1" applyBorder="1" applyAlignment="1">
      <alignment horizontal="center" vertical="center" wrapText="1" shrinkToFit="1"/>
    </xf>
    <xf numFmtId="0" fontId="50" fillId="12" borderId="5" xfId="0" applyFont="1" applyFill="1" applyBorder="1" applyAlignment="1">
      <alignment horizontal="center" vertical="center" wrapText="1" shrinkToFit="1"/>
    </xf>
    <xf numFmtId="0" fontId="6" fillId="7" borderId="17" xfId="0" applyFont="1" applyFill="1" applyBorder="1" applyAlignment="1">
      <alignment horizontal="center" vertical="center"/>
    </xf>
    <xf numFmtId="0" fontId="6" fillId="7" borderId="5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 wrapText="1"/>
    </xf>
    <xf numFmtId="0" fontId="27" fillId="12" borderId="5" xfId="0" applyFont="1" applyFill="1" applyBorder="1" applyAlignment="1">
      <alignment horizontal="center" vertical="center" wrapText="1"/>
    </xf>
    <xf numFmtId="0" fontId="0" fillId="19" borderId="17" xfId="0" applyFill="1" applyBorder="1" applyAlignment="1">
      <alignment horizontal="center" vertical="center" wrapText="1"/>
    </xf>
    <xf numFmtId="0" fontId="0" fillId="19" borderId="30" xfId="0" applyFill="1" applyBorder="1" applyAlignment="1">
      <alignment horizontal="center" vertical="center"/>
    </xf>
    <xf numFmtId="0" fontId="0" fillId="19" borderId="5" xfId="0" applyFill="1" applyBorder="1" applyAlignment="1">
      <alignment horizontal="center" vertical="center"/>
    </xf>
    <xf numFmtId="4" fontId="0" fillId="9" borderId="58" xfId="0" applyNumberFormat="1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62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0" fontId="0" fillId="9" borderId="63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2" fillId="19" borderId="3" xfId="0" applyFont="1" applyFill="1" applyBorder="1" applyAlignment="1">
      <alignment horizontal="center" vertical="center"/>
    </xf>
    <xf numFmtId="0" fontId="0" fillId="19" borderId="39" xfId="0" applyFill="1" applyBorder="1" applyAlignment="1">
      <alignment horizontal="center" vertical="center"/>
    </xf>
    <xf numFmtId="4" fontId="2" fillId="19" borderId="58" xfId="0" applyNumberFormat="1" applyFont="1" applyFill="1" applyBorder="1" applyAlignment="1">
      <alignment horizontal="center" vertical="center"/>
    </xf>
    <xf numFmtId="4" fontId="2" fillId="19" borderId="64" xfId="0" applyNumberFormat="1" applyFont="1" applyFill="1" applyBorder="1" applyAlignment="1">
      <alignment horizontal="center" vertical="center"/>
    </xf>
    <xf numFmtId="0" fontId="0" fillId="19" borderId="63" xfId="0" applyFill="1" applyBorder="1" applyAlignment="1">
      <alignment horizontal="center" vertical="center"/>
    </xf>
    <xf numFmtId="165" fontId="58" fillId="9" borderId="17" xfId="0" applyNumberFormat="1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2" fillId="19" borderId="28" xfId="0" applyFont="1" applyFill="1" applyBorder="1" applyAlignment="1">
      <alignment horizontal="center" vertical="center"/>
    </xf>
    <xf numFmtId="0" fontId="0" fillId="19" borderId="28" xfId="0" applyFill="1" applyBorder="1" applyAlignment="1">
      <alignment horizontal="center" vertical="center"/>
    </xf>
    <xf numFmtId="4" fontId="0" fillId="9" borderId="26" xfId="0" applyNumberFormat="1" applyFill="1" applyBorder="1" applyAlignment="1">
      <alignment horizontal="center" vertical="center"/>
    </xf>
    <xf numFmtId="0" fontId="0" fillId="9" borderId="61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4" fontId="2" fillId="19" borderId="36" xfId="0" applyNumberFormat="1" applyFont="1" applyFill="1" applyBorder="1" applyAlignment="1">
      <alignment horizontal="center" vertical="center"/>
    </xf>
    <xf numFmtId="0" fontId="0" fillId="19" borderId="38" xfId="0" applyFill="1" applyBorder="1" applyAlignment="1">
      <alignment horizontal="center" vertical="center"/>
    </xf>
    <xf numFmtId="4" fontId="54" fillId="19" borderId="62" xfId="0" applyNumberFormat="1" applyFont="1" applyFill="1" applyBorder="1" applyAlignment="1">
      <alignment horizontal="center" vertical="distributed"/>
    </xf>
    <xf numFmtId="0" fontId="0" fillId="19" borderId="62" xfId="0" applyFill="1" applyBorder="1" applyAlignment="1">
      <alignment horizontal="center"/>
    </xf>
    <xf numFmtId="0" fontId="0" fillId="19" borderId="63" xfId="0" applyFill="1" applyBorder="1" applyAlignment="1">
      <alignment horizontal="center"/>
    </xf>
    <xf numFmtId="2" fontId="2" fillId="19" borderId="28" xfId="0" applyNumberFormat="1" applyFont="1" applyFill="1" applyBorder="1" applyAlignment="1">
      <alignment horizontal="center" vertical="distributed" wrapText="1"/>
    </xf>
    <xf numFmtId="0" fontId="2" fillId="19" borderId="28" xfId="0" applyFont="1" applyFill="1" applyBorder="1" applyAlignment="1">
      <alignment horizontal="center" vertical="center" wrapText="1"/>
    </xf>
    <xf numFmtId="0" fontId="0" fillId="19" borderId="59" xfId="0" applyFill="1" applyBorder="1" applyAlignment="1">
      <alignment horizontal="center" vertical="center"/>
    </xf>
    <xf numFmtId="0" fontId="0" fillId="19" borderId="60" xfId="0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az-Cyrl-AZ"/>
              <a:t>масса пара от объемного процента</a:t>
            </a:r>
          </a:p>
        </c:rich>
      </c:tx>
      <c:layout>
        <c:manualLayout>
          <c:xMode val="edge"/>
          <c:yMode val="edge"/>
          <c:x val="0.25630941738814528"/>
          <c:y val="2.69436032034457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09132682588948"/>
          <c:y val="6.0681475488249335E-2"/>
          <c:w val="0.78745624026503735"/>
          <c:h val="0.80099547644489122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'генер. спирт. пара'!$C$4:$C$23</c:f>
              <c:numCache>
                <c:formatCode>0.0</c:formatCode>
                <c:ptCount val="20"/>
                <c:pt idx="0">
                  <c:v>97</c:v>
                </c:pt>
                <c:pt idx="1">
                  <c:v>92.406487202680481</c:v>
                </c:pt>
                <c:pt idx="2">
                  <c:v>90.047311788435152</c:v>
                </c:pt>
                <c:pt idx="3">
                  <c:v>88.147853971936598</c:v>
                </c:pt>
                <c:pt idx="4">
                  <c:v>86.623269736151428</c:v>
                </c:pt>
                <c:pt idx="5">
                  <c:v>85.388411258005334</c:v>
                </c:pt>
                <c:pt idx="6">
                  <c:v>84.357742688393557</c:v>
                </c:pt>
                <c:pt idx="7">
                  <c:v>83.445216643308569</c:v>
                </c:pt>
                <c:pt idx="8">
                  <c:v>82.5640776125108</c:v>
                </c:pt>
                <c:pt idx="9">
                  <c:v>81.626512943299815</c:v>
                </c:pt>
                <c:pt idx="10">
                  <c:v>80.542951349080056</c:v>
                </c:pt>
                <c:pt idx="11">
                  <c:v>79.220478890794155</c:v>
                </c:pt>
                <c:pt idx="12">
                  <c:v>77.558920550822819</c:v>
                </c:pt>
                <c:pt idx="13">
                  <c:v>75.440518840805481</c:v>
                </c:pt>
                <c:pt idx="14">
                  <c:v>72.701612204926079</c:v>
                </c:pt>
                <c:pt idx="15">
                  <c:v>69.052764433738901</c:v>
                </c:pt>
                <c:pt idx="16">
                  <c:v>63.848789255907363</c:v>
                </c:pt>
                <c:pt idx="17">
                  <c:v>55.413316209586611</c:v>
                </c:pt>
                <c:pt idx="18">
                  <c:v>39.001395052684863</c:v>
                </c:pt>
                <c:pt idx="19">
                  <c:v>11.187662247233877</c:v>
                </c:pt>
              </c:numCache>
            </c:numRef>
          </c:cat>
          <c:val>
            <c:numRef>
              <c:f>'генер. спирт. пара'!$F$4:$F$23</c:f>
              <c:numCache>
                <c:formatCode>0.000</c:formatCode>
                <c:ptCount val="20"/>
                <c:pt idx="0">
                  <c:v>6766.0920567208905</c:v>
                </c:pt>
                <c:pt idx="1">
                  <c:v>6162.320199798869</c:v>
                </c:pt>
                <c:pt idx="2">
                  <c:v>5900.9507344426383</c:v>
                </c:pt>
                <c:pt idx="3">
                  <c:v>5709.9514381072822</c:v>
                </c:pt>
                <c:pt idx="4">
                  <c:v>5567.6742816661645</c:v>
                </c:pt>
                <c:pt idx="5">
                  <c:v>5458.9478798229038</c:v>
                </c:pt>
                <c:pt idx="6">
                  <c:v>5372.324217723366</c:v>
                </c:pt>
                <c:pt idx="7">
                  <c:v>5298.5660171814288</c:v>
                </c:pt>
                <c:pt idx="8">
                  <c:v>5229.8185056961793</c:v>
                </c:pt>
                <c:pt idx="9">
                  <c:v>5159.1986433994052</c:v>
                </c:pt>
                <c:pt idx="10">
                  <c:v>5080.6551955636387</c:v>
                </c:pt>
                <c:pt idx="11">
                  <c:v>4988.9866828845143</c:v>
                </c:pt>
                <c:pt idx="12">
                  <c:v>4879.8757419490594</c:v>
                </c:pt>
                <c:pt idx="13">
                  <c:v>4749.6984993746764</c:v>
                </c:pt>
                <c:pt idx="14">
                  <c:v>4594.6447969999326</c:v>
                </c:pt>
                <c:pt idx="15">
                  <c:v>4408.2266765083114</c:v>
                </c:pt>
                <c:pt idx="16">
                  <c:v>4175.4987580405832</c:v>
                </c:pt>
                <c:pt idx="17">
                  <c:v>3862.3607299986234</c:v>
                </c:pt>
                <c:pt idx="18">
                  <c:v>3405.4377552922342</c:v>
                </c:pt>
                <c:pt idx="19">
                  <c:v>2877.6526103557471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7CC-476F-9FEA-668C044D4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329440"/>
        <c:axId val="2026331072"/>
      </c:lineChart>
      <c:catAx>
        <c:axId val="2026329440"/>
        <c:scaling>
          <c:orientation val="minMax"/>
        </c:scaling>
        <c:delete val="0"/>
        <c:axPos val="b"/>
        <c:majorGridlines>
          <c:spPr>
            <a:ln w="3175" cmpd="dbl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z-Cyrl-AZ"/>
                  <a:t>Объемный процент</a:t>
                </a:r>
              </a:p>
            </c:rich>
          </c:tx>
          <c:layout>
            <c:manualLayout>
              <c:xMode val="edge"/>
              <c:yMode val="edge"/>
              <c:x val="0.36204246825289921"/>
              <c:y val="0.7731122551988692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0263310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026331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z-Cyrl-AZ"/>
                  <a:t>Масса пара (кг.час) на 1 квт</a:t>
                </a:r>
              </a:p>
            </c:rich>
          </c:tx>
          <c:layout>
            <c:manualLayout>
              <c:xMode val="edge"/>
              <c:yMode val="edge"/>
              <c:x val="2.7113309903136134E-2"/>
              <c:y val="0.20448246853758664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0263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424441345661662E-2"/>
          <c:y val="0.92478568644091985"/>
          <c:w val="0.13493968436466602"/>
          <c:h val="5.82542164687193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объём пара</a:t>
            </a:r>
          </a:p>
        </c:rich>
      </c:tx>
      <c:layout>
        <c:manualLayout>
          <c:xMode val="edge"/>
          <c:yMode val="edge"/>
          <c:x val="0.40250181928193557"/>
          <c:y val="1.68276198299640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280579578031787E-2"/>
          <c:y val="0.11893569195696869"/>
          <c:w val="0.8900419088604844"/>
          <c:h val="0.71118689272228219"/>
        </c:manualLayout>
      </c:layout>
      <c:lineChart>
        <c:grouping val="standard"/>
        <c:varyColors val="0"/>
        <c:ser>
          <c:idx val="0"/>
          <c:order val="0"/>
          <c:tx>
            <c:strRef>
              <c:f>'генер. спирт. пара'!$H$3</c:f>
              <c:strCache>
                <c:ptCount val="1"/>
                <c:pt idx="0">
                  <c:v>литр /ч</c:v>
                </c:pt>
              </c:strCache>
            </c:strRef>
          </c:tx>
          <c:val>
            <c:numRef>
              <c:f>'генер. спирт. пара'!$H$4:$H$23</c:f>
              <c:numCache>
                <c:formatCode>0.00</c:formatCode>
                <c:ptCount val="20"/>
                <c:pt idx="0">
                  <c:v>4509764.5489611709</c:v>
                </c:pt>
                <c:pt idx="1">
                  <c:v>4325013.7305078907</c:v>
                </c:pt>
                <c:pt idx="2">
                  <c:v>4283815.3331707977</c:v>
                </c:pt>
                <c:pt idx="3">
                  <c:v>4256707.7829537923</c:v>
                </c:pt>
                <c:pt idx="4">
                  <c:v>4238923.2798814289</c:v>
                </c:pt>
                <c:pt idx="5">
                  <c:v>4227396.3743768306</c:v>
                </c:pt>
                <c:pt idx="6">
                  <c:v>4220022.6610585516</c:v>
                </c:pt>
                <c:pt idx="7">
                  <c:v>4215268.1003022622</c:v>
                </c:pt>
                <c:pt idx="8">
                  <c:v>4211974.4378819801</c:v>
                </c:pt>
                <c:pt idx="9">
                  <c:v>4209286.8682937464</c:v>
                </c:pt>
                <c:pt idx="10">
                  <c:v>4206664.8660843987</c:v>
                </c:pt>
                <c:pt idx="11">
                  <c:v>4203950.0930786598</c:v>
                </c:pt>
                <c:pt idx="12">
                  <c:v>4201467.7555243904</c:v>
                </c:pt>
                <c:pt idx="13">
                  <c:v>4200140.386107021</c:v>
                </c:pt>
                <c:pt idx="14">
                  <c:v>4201620.1407913743</c:v>
                </c:pt>
                <c:pt idx="15">
                  <c:v>4208580.0812766813</c:v>
                </c:pt>
                <c:pt idx="16">
                  <c:v>4225868.2213771939</c:v>
                </c:pt>
                <c:pt idx="17">
                  <c:v>4265470.103865454</c:v>
                </c:pt>
                <c:pt idx="18">
                  <c:v>4365106.9342382662</c:v>
                </c:pt>
                <c:pt idx="19">
                  <c:v>4546499.6171528529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84-4A61-9632-B59DF9C17F1F}"/>
            </c:ext>
          </c:extLst>
        </c:ser>
        <c:ser>
          <c:idx val="1"/>
          <c:order val="1"/>
          <c:tx>
            <c:strRef>
              <c:f>'генер. спирт. пара'!$H$2</c:f>
              <c:strCache>
                <c:ptCount val="1"/>
                <c:pt idx="0">
                  <c:v>объём пара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84-4A61-9632-B59DF9C17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324000"/>
        <c:axId val="2026334336"/>
      </c:lineChart>
      <c:catAx>
        <c:axId val="202632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26334336"/>
        <c:crosses val="autoZero"/>
        <c:auto val="1"/>
        <c:lblAlgn val="ctr"/>
        <c:lblOffset val="100"/>
        <c:noMultiLvlLbl val="0"/>
      </c:catAx>
      <c:valAx>
        <c:axId val="202633433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2026324000"/>
        <c:crosses val="autoZero"/>
        <c:crossBetween val="between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7.2361130801665398E-3"/>
          <c:y val="2.6699849214829707E-2"/>
          <c:w val="0.13459170329109765"/>
          <c:h val="4.85451803905994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125000000000001"/>
          <c:y val="2.02360876897133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3125000000000001"/>
          <c:y val="0.10792580101180438"/>
          <c:w val="0.79374999999999996"/>
          <c:h val="0.72681281618887017"/>
        </c:manualLayout>
      </c:layout>
      <c:lineChart>
        <c:grouping val="standard"/>
        <c:varyColors val="0"/>
        <c:ser>
          <c:idx val="0"/>
          <c:order val="0"/>
          <c:tx>
            <c:v>Отбор 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'расчёт ФЧ по Т куба'!$K$4:$K$14</c:f>
              <c:numCache>
                <c:formatCode>#,##0.00</c:formatCode>
                <c:ptCount val="11"/>
                <c:pt idx="0">
                  <c:v>82.826999999999998</c:v>
                </c:pt>
                <c:pt idx="1">
                  <c:v>83.521000000000001</c:v>
                </c:pt>
                <c:pt idx="2">
                  <c:v>84.195999999999998</c:v>
                </c:pt>
                <c:pt idx="3">
                  <c:v>84.921000000000006</c:v>
                </c:pt>
                <c:pt idx="4">
                  <c:v>85.897000000000006</c:v>
                </c:pt>
                <c:pt idx="5">
                  <c:v>86.986000000000004</c:v>
                </c:pt>
                <c:pt idx="6">
                  <c:v>88.317999999999998</c:v>
                </c:pt>
                <c:pt idx="7">
                  <c:v>90.524000000000001</c:v>
                </c:pt>
                <c:pt idx="8">
                  <c:v>92.691000000000003</c:v>
                </c:pt>
                <c:pt idx="9">
                  <c:v>95.918000000000006</c:v>
                </c:pt>
                <c:pt idx="10">
                  <c:v>99.108000000000004</c:v>
                </c:pt>
              </c:numCache>
            </c:numRef>
          </c:cat>
          <c:val>
            <c:numRef>
              <c:f>'генер. спирт. пара'!$M$13:$M$23</c:f>
              <c:numCache>
                <c:formatCode>0.00</c:formatCode>
                <c:ptCount val="11"/>
                <c:pt idx="0">
                  <c:v>1178.2726895380908</c:v>
                </c:pt>
                <c:pt idx="1">
                  <c:v>1173.3937734310027</c:v>
                </c:pt>
                <c:pt idx="2">
                  <c:v>1158.9248415791474</c:v>
                </c:pt>
                <c:pt idx="3">
                  <c:v>1122.6106030581543</c:v>
                </c:pt>
                <c:pt idx="4">
                  <c:v>1068.2095082629689</c:v>
                </c:pt>
                <c:pt idx="5">
                  <c:v>994.94778335712567</c:v>
                </c:pt>
                <c:pt idx="6">
                  <c:v>900.95543207643345</c:v>
                </c:pt>
                <c:pt idx="7">
                  <c:v>779.22018925516886</c:v>
                </c:pt>
                <c:pt idx="8">
                  <c:v>608.84361397374505</c:v>
                </c:pt>
                <c:pt idx="9">
                  <c:v>363.76755371662966</c:v>
                </c:pt>
                <c:pt idx="10">
                  <c:v>77.328875146059104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87-476A-8A09-03F451291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331616"/>
        <c:axId val="2026332160"/>
      </c:lineChart>
      <c:catAx>
        <c:axId val="2026331616"/>
        <c:scaling>
          <c:orientation val="minMax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az-Cyrl-AZ"/>
                  <a:t>температура куба с поправками на давление Ркуб. и  Ратм. 
</a:t>
                </a:r>
              </a:p>
            </c:rich>
          </c:tx>
          <c:layout>
            <c:manualLayout>
              <c:xMode val="edge"/>
              <c:yMode val="edge"/>
              <c:x val="0.35416666666666669"/>
              <c:y val="0.9055649241146711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6332160"/>
        <c:crosses val="autoZero"/>
        <c:auto val="1"/>
        <c:lblAlgn val="ctr"/>
        <c:lblOffset val="100"/>
        <c:tickMarkSkip val="1"/>
        <c:noMultiLvlLbl val="0"/>
      </c:catAx>
      <c:valAx>
        <c:axId val="202633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az-Cyrl-AZ"/>
                  <a:t>Отбор (л/ч)</a:t>
                </a:r>
              </a:p>
            </c:rich>
          </c:tx>
          <c:layout>
            <c:manualLayout>
              <c:xMode val="edge"/>
              <c:yMode val="edge"/>
              <c:x val="3.229166666666667E-2"/>
              <c:y val="0.416526138279932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263316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</c:dTable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70833333333335"/>
          <c:y val="0.47723440134907252"/>
          <c:w val="7.604166666666666E-2"/>
          <c:h val="3.37268128161888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1"/>
  <sheetViews>
    <sheetView zoomScale="94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23</xdr:row>
      <xdr:rowOff>76200</xdr:rowOff>
    </xdr:from>
    <xdr:to>
      <xdr:col>7</xdr:col>
      <xdr:colOff>0</xdr:colOff>
      <xdr:row>44</xdr:row>
      <xdr:rowOff>0</xdr:rowOff>
    </xdr:to>
    <xdr:graphicFrame macro="">
      <xdr:nvGraphicFramePr>
        <xdr:cNvPr id="1236" name="Диаграмма 1">
          <a:extLst>
            <a:ext uri="{FF2B5EF4-FFF2-40B4-BE49-F238E27FC236}">
              <a16:creationId xmlns:a16="http://schemas.microsoft.com/office/drawing/2014/main" xmlns="" id="{36BE4E8D-BB6F-402D-A8CE-891B0D26B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23</xdr:row>
      <xdr:rowOff>76200</xdr:rowOff>
    </xdr:from>
    <xdr:to>
      <xdr:col>15</xdr:col>
      <xdr:colOff>1543050</xdr:colOff>
      <xdr:row>44</xdr:row>
      <xdr:rowOff>0</xdr:rowOff>
    </xdr:to>
    <xdr:graphicFrame macro="">
      <xdr:nvGraphicFramePr>
        <xdr:cNvPr id="1237" name="Диаграмма 1">
          <a:extLst>
            <a:ext uri="{FF2B5EF4-FFF2-40B4-BE49-F238E27FC236}">
              <a16:creationId xmlns:a16="http://schemas.microsoft.com/office/drawing/2014/main" xmlns="" id="{D6B340F2-ACB9-453C-8E79-269AB15F2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2638" cy="5601511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xmlns="" id="{D3C6EFE4-A129-40DB-872E-2F41C75FCB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sources\directory\97990837d4a2403a86b2c11a9ced5835.ExcelAutomationServiceFrontend.WorkingDir\NoAVScans\c8b6e20e-8dc6-41a6-9b03-a8efc6b6925f\in\&#1056;&#1072;&#1089;&#1095;&#1105;&#1090;_&#1060;&#1063;_&#1087;&#1086;_&#1062;&#1099;&#1075;&#1072;&#1085;&#1082;&#1086;&#1074;&#1091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sources\directory\97990837d4a2403a86b2c11a9ced5835.ExcelAutomationServiceFrontend.WorkingDir\NoAVScans\c8b6e20e-8dc6-41a6-9b03-a8efc6b6925f\in\&#1075;&#1086;&#1083;&#1086;&#1092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Диаграмма1"/>
      <sheetName val="Лист3"/>
    </sheetNames>
    <sheetDataSet>
      <sheetData sheetId="0">
        <row r="1">
          <cell r="A1">
            <v>0</v>
          </cell>
          <cell r="D1">
            <v>0</v>
          </cell>
        </row>
        <row r="2">
          <cell r="A2">
            <v>10.75</v>
          </cell>
          <cell r="D2">
            <v>6.2642538423401106</v>
          </cell>
        </row>
        <row r="3">
          <cell r="A3">
            <v>19.7</v>
          </cell>
          <cell r="D3">
            <v>12.433227150208284</v>
          </cell>
        </row>
        <row r="4">
          <cell r="A4">
            <v>27.2</v>
          </cell>
          <cell r="D4">
            <v>18.529769137302551</v>
          </cell>
        </row>
        <row r="5">
          <cell r="A5">
            <v>33.299999999999997</v>
          </cell>
          <cell r="D5">
            <v>24.540009583133685</v>
          </cell>
        </row>
        <row r="6">
          <cell r="A6">
            <v>37</v>
          </cell>
          <cell r="D6">
            <v>30.449057134033069</v>
          </cell>
        </row>
        <row r="7">
          <cell r="A7">
            <v>41.1</v>
          </cell>
          <cell r="D7">
            <v>36.241437387815481</v>
          </cell>
        </row>
        <row r="8">
          <cell r="A8">
            <v>44.6</v>
          </cell>
          <cell r="D8">
            <v>41.891999542992735</v>
          </cell>
        </row>
        <row r="9">
          <cell r="A9">
            <v>47.6</v>
          </cell>
          <cell r="D9">
            <v>47.376561394399616</v>
          </cell>
        </row>
        <row r="10">
          <cell r="A10">
            <v>50</v>
          </cell>
          <cell r="D10">
            <v>52.700112095729011</v>
          </cell>
        </row>
        <row r="11">
          <cell r="A11">
            <v>52.2</v>
          </cell>
          <cell r="D11">
            <v>57.867782085288717</v>
          </cell>
        </row>
        <row r="12">
          <cell r="A12">
            <v>54.1</v>
          </cell>
          <cell r="D12">
            <v>62.875494071146242</v>
          </cell>
        </row>
        <row r="13">
          <cell r="A13">
            <v>55.8</v>
          </cell>
          <cell r="D13">
            <v>67.71635531833779</v>
          </cell>
        </row>
        <row r="14">
          <cell r="A14">
            <v>57.4</v>
          </cell>
          <cell r="D14">
            <v>72.39911553344389</v>
          </cell>
        </row>
        <row r="15">
          <cell r="A15">
            <v>58.8</v>
          </cell>
          <cell r="D15">
            <v>76.92280515809928</v>
          </cell>
        </row>
        <row r="16">
          <cell r="A16">
            <v>60</v>
          </cell>
          <cell r="D16">
            <v>81.28062172664302</v>
          </cell>
        </row>
        <row r="17">
          <cell r="A17">
            <v>61.1</v>
          </cell>
          <cell r="D17">
            <v>85.477294531499837</v>
          </cell>
        </row>
        <row r="18">
          <cell r="A18">
            <v>62.2</v>
          </cell>
          <cell r="D18">
            <v>89.474736168851948</v>
          </cell>
        </row>
        <row r="19">
          <cell r="A19">
            <v>63.2</v>
          </cell>
          <cell r="D19">
            <v>93.217513705734191</v>
          </cell>
        </row>
        <row r="20">
          <cell r="A20">
            <v>64.3</v>
          </cell>
          <cell r="D20">
            <v>96.707927311035036</v>
          </cell>
        </row>
        <row r="21">
          <cell r="A21">
            <v>65</v>
          </cell>
          <cell r="D21">
            <v>99.999999000000003</v>
          </cell>
        </row>
        <row r="22">
          <cell r="A22">
            <v>65.8</v>
          </cell>
        </row>
        <row r="23">
          <cell r="A23">
            <v>66.599999999999994</v>
          </cell>
        </row>
        <row r="24">
          <cell r="A24">
            <v>67.3</v>
          </cell>
        </row>
        <row r="25">
          <cell r="A25">
            <v>68</v>
          </cell>
        </row>
        <row r="26">
          <cell r="A26">
            <v>68.599999999999994</v>
          </cell>
        </row>
        <row r="27">
          <cell r="A27">
            <v>69.3</v>
          </cell>
        </row>
        <row r="28">
          <cell r="A28">
            <v>69.8</v>
          </cell>
        </row>
        <row r="29">
          <cell r="A29">
            <v>70.3</v>
          </cell>
        </row>
        <row r="30">
          <cell r="A30">
            <v>70.8</v>
          </cell>
        </row>
        <row r="31">
          <cell r="A31">
            <v>71.3</v>
          </cell>
        </row>
        <row r="32">
          <cell r="A32">
            <v>71.7</v>
          </cell>
        </row>
        <row r="33">
          <cell r="A33">
            <v>72.099999999999994</v>
          </cell>
        </row>
        <row r="34">
          <cell r="A34">
            <v>72.5</v>
          </cell>
        </row>
        <row r="35">
          <cell r="A35">
            <v>72.900000000000006</v>
          </cell>
        </row>
        <row r="36">
          <cell r="A36">
            <v>73.2</v>
          </cell>
        </row>
        <row r="37">
          <cell r="A37">
            <v>73.5</v>
          </cell>
        </row>
        <row r="38">
          <cell r="A38">
            <v>73.8</v>
          </cell>
        </row>
        <row r="39">
          <cell r="A39">
            <v>74</v>
          </cell>
        </row>
        <row r="40">
          <cell r="A40">
            <v>74.3</v>
          </cell>
        </row>
        <row r="41">
          <cell r="A41">
            <v>74.599999999999994</v>
          </cell>
        </row>
        <row r="42">
          <cell r="A42">
            <v>74.8</v>
          </cell>
        </row>
        <row r="43">
          <cell r="A43">
            <v>75.099999999999994</v>
          </cell>
        </row>
        <row r="44">
          <cell r="A44">
            <v>75.400000000000006</v>
          </cell>
        </row>
        <row r="45">
          <cell r="A45">
            <v>75.599999999999994</v>
          </cell>
        </row>
        <row r="46">
          <cell r="A46">
            <v>75.900000000000006</v>
          </cell>
        </row>
        <row r="47">
          <cell r="A47">
            <v>76.099999999999994</v>
          </cell>
        </row>
        <row r="48">
          <cell r="A48">
            <v>76.3</v>
          </cell>
        </row>
        <row r="49">
          <cell r="A49">
            <v>76.5</v>
          </cell>
        </row>
        <row r="50">
          <cell r="A50">
            <v>76.8</v>
          </cell>
        </row>
        <row r="51">
          <cell r="A51">
            <v>77</v>
          </cell>
        </row>
        <row r="52">
          <cell r="A52">
            <v>77.3</v>
          </cell>
        </row>
        <row r="53">
          <cell r="A53">
            <v>77.5</v>
          </cell>
        </row>
        <row r="54">
          <cell r="A54">
            <v>77.7</v>
          </cell>
        </row>
        <row r="55">
          <cell r="A55">
            <v>78</v>
          </cell>
        </row>
        <row r="56">
          <cell r="A56">
            <v>78.2</v>
          </cell>
        </row>
        <row r="57">
          <cell r="A57">
            <v>78.5</v>
          </cell>
        </row>
        <row r="58">
          <cell r="A58">
            <v>78.7</v>
          </cell>
        </row>
        <row r="59">
          <cell r="A59">
            <v>79</v>
          </cell>
        </row>
        <row r="60">
          <cell r="A60">
            <v>79.2</v>
          </cell>
        </row>
        <row r="61">
          <cell r="A61">
            <v>79.5</v>
          </cell>
        </row>
        <row r="62">
          <cell r="A62">
            <v>79.7</v>
          </cell>
        </row>
        <row r="63">
          <cell r="A63">
            <v>80</v>
          </cell>
        </row>
        <row r="64">
          <cell r="A64">
            <v>80.3</v>
          </cell>
        </row>
        <row r="65">
          <cell r="A65">
            <v>80.5</v>
          </cell>
        </row>
        <row r="66">
          <cell r="A66">
            <v>80.8</v>
          </cell>
        </row>
        <row r="67">
          <cell r="A67">
            <v>81</v>
          </cell>
        </row>
        <row r="68">
          <cell r="A68">
            <v>81.3</v>
          </cell>
        </row>
        <row r="69">
          <cell r="A69">
            <v>81.599999999999994</v>
          </cell>
        </row>
        <row r="70">
          <cell r="A70">
            <v>81.900000000000006</v>
          </cell>
        </row>
        <row r="71">
          <cell r="A71">
            <v>82.1</v>
          </cell>
        </row>
        <row r="72">
          <cell r="A72">
            <v>82.4</v>
          </cell>
        </row>
        <row r="73">
          <cell r="A73">
            <v>82.8</v>
          </cell>
        </row>
        <row r="74">
          <cell r="A74">
            <v>83.1</v>
          </cell>
        </row>
        <row r="75">
          <cell r="A75">
            <v>83.4</v>
          </cell>
        </row>
        <row r="76">
          <cell r="A76">
            <v>83.8</v>
          </cell>
        </row>
        <row r="77">
          <cell r="A77">
            <v>84.1</v>
          </cell>
        </row>
        <row r="78">
          <cell r="A78">
            <v>84.5</v>
          </cell>
        </row>
        <row r="79">
          <cell r="A79">
            <v>84.9</v>
          </cell>
        </row>
        <row r="80">
          <cell r="A80">
            <v>85.4</v>
          </cell>
        </row>
        <row r="81">
          <cell r="A81">
            <v>85.8</v>
          </cell>
        </row>
        <row r="82">
          <cell r="A82">
            <v>86.3</v>
          </cell>
        </row>
        <row r="83">
          <cell r="A83">
            <v>86.7</v>
          </cell>
        </row>
        <row r="84">
          <cell r="A84">
            <v>87.2</v>
          </cell>
        </row>
        <row r="85">
          <cell r="A85">
            <v>87.7</v>
          </cell>
        </row>
        <row r="86">
          <cell r="A86">
            <v>88.3</v>
          </cell>
        </row>
        <row r="87">
          <cell r="A87">
            <v>88.9</v>
          </cell>
        </row>
        <row r="88">
          <cell r="A88">
            <v>89.5</v>
          </cell>
        </row>
        <row r="89">
          <cell r="A89">
            <v>90.1</v>
          </cell>
        </row>
        <row r="90">
          <cell r="A90">
            <v>90.7</v>
          </cell>
        </row>
        <row r="91">
          <cell r="A91">
            <v>91.3</v>
          </cell>
        </row>
        <row r="92">
          <cell r="A92">
            <v>92</v>
          </cell>
        </row>
        <row r="93">
          <cell r="A93">
            <v>92.65</v>
          </cell>
        </row>
        <row r="94">
          <cell r="A94">
            <v>93.4</v>
          </cell>
        </row>
        <row r="95">
          <cell r="A95">
            <v>94.2</v>
          </cell>
        </row>
        <row r="96">
          <cell r="A96">
            <v>95.05</v>
          </cell>
        </row>
        <row r="97">
          <cell r="A97">
            <v>95.965000000000003</v>
          </cell>
        </row>
      </sheetData>
      <sheetData sheetId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18"/>
  <sheetViews>
    <sheetView zoomScale="75" workbookViewId="0">
      <selection activeCell="L5" sqref="L5:N5"/>
    </sheetView>
  </sheetViews>
  <sheetFormatPr defaultRowHeight="14.4" x14ac:dyDescent="0.3"/>
  <cols>
    <col min="1" max="1" width="13.6640625" customWidth="1"/>
    <col min="2" max="2" width="13" customWidth="1"/>
    <col min="3" max="3" width="12" customWidth="1"/>
    <col min="4" max="4" width="6" style="10" customWidth="1"/>
    <col min="5" max="5" width="14.5546875" customWidth="1"/>
    <col min="6" max="6" width="5.88671875" customWidth="1"/>
    <col min="7" max="7" width="7.6640625" customWidth="1"/>
    <col min="8" max="8" width="8.77734375" customWidth="1"/>
    <col min="9" max="9" width="8.21875" customWidth="1"/>
    <col min="10" max="10" width="2.77734375" customWidth="1"/>
    <col min="11" max="11" width="3.77734375" customWidth="1"/>
    <col min="14" max="14" width="11.44140625" customWidth="1"/>
    <col min="16" max="16" width="13.5546875" customWidth="1"/>
  </cols>
  <sheetData>
    <row r="1" spans="1:19" ht="40.200000000000003" customHeight="1" thickBot="1" x14ac:dyDescent="0.35">
      <c r="A1" s="14" t="s">
        <v>14</v>
      </c>
      <c r="B1" s="46" t="s">
        <v>23</v>
      </c>
      <c r="C1" s="101" t="s">
        <v>24</v>
      </c>
      <c r="D1" s="16"/>
      <c r="E1" s="101" t="s">
        <v>13</v>
      </c>
      <c r="G1" s="177" t="s">
        <v>27</v>
      </c>
      <c r="H1" s="178"/>
      <c r="I1" s="179"/>
    </row>
    <row r="2" spans="1:19" ht="19.95" customHeight="1" thickTop="1" thickBot="1" x14ac:dyDescent="0.35">
      <c r="A2" s="99">
        <v>1.57</v>
      </c>
      <c r="B2" s="100">
        <v>220</v>
      </c>
      <c r="C2" s="18">
        <v>1</v>
      </c>
      <c r="D2" s="17"/>
      <c r="E2" s="19">
        <v>220</v>
      </c>
      <c r="G2" s="180">
        <f>D12</f>
        <v>30.828025477707005</v>
      </c>
      <c r="H2" s="181"/>
      <c r="I2" s="182"/>
      <c r="L2" s="205" t="s">
        <v>46</v>
      </c>
      <c r="M2" s="206"/>
      <c r="N2" s="207"/>
      <c r="Q2" s="189" t="s">
        <v>40</v>
      </c>
      <c r="R2" s="190"/>
      <c r="S2" s="191"/>
    </row>
    <row r="3" spans="1:19" ht="26.4" customHeight="1" thickBot="1" x14ac:dyDescent="0.35">
      <c r="A3" s="201"/>
      <c r="B3" s="201"/>
      <c r="C3" s="201"/>
      <c r="D3" s="201"/>
      <c r="E3" s="201"/>
      <c r="G3" s="11"/>
      <c r="H3" s="11"/>
      <c r="I3" s="11"/>
      <c r="L3" s="208"/>
      <c r="M3" s="209"/>
      <c r="N3" s="210"/>
      <c r="Q3" s="192"/>
      <c r="R3" s="193"/>
      <c r="S3" s="194"/>
    </row>
    <row r="4" spans="1:19" ht="19.2" customHeight="1" thickTop="1" thickBot="1" x14ac:dyDescent="0.35">
      <c r="A4" s="183" t="s">
        <v>17</v>
      </c>
      <c r="B4" s="184"/>
      <c r="C4" s="185"/>
      <c r="D4" s="13"/>
      <c r="E4" s="13"/>
      <c r="G4" s="186" t="s">
        <v>19</v>
      </c>
      <c r="H4" s="187"/>
      <c r="I4" s="188"/>
      <c r="K4" s="98"/>
      <c r="L4" s="202">
        <v>1700</v>
      </c>
      <c r="M4" s="203"/>
      <c r="N4" s="204"/>
      <c r="Q4" s="195">
        <v>0</v>
      </c>
      <c r="R4" s="196"/>
      <c r="S4" s="197"/>
    </row>
    <row r="5" spans="1:19" ht="104.25" customHeight="1" thickTop="1" thickBot="1" x14ac:dyDescent="0.35">
      <c r="A5" s="12" t="s">
        <v>14</v>
      </c>
      <c r="B5" s="22" t="s">
        <v>12</v>
      </c>
      <c r="C5" s="23" t="s">
        <v>15</v>
      </c>
      <c r="D5" s="15"/>
      <c r="G5" s="47" t="s">
        <v>11</v>
      </c>
      <c r="H5" s="48" t="s">
        <v>18</v>
      </c>
      <c r="I5" s="49" t="s">
        <v>32</v>
      </c>
      <c r="L5" s="198" t="s">
        <v>43</v>
      </c>
      <c r="M5" s="199"/>
      <c r="N5" s="200"/>
      <c r="Q5" s="211" t="s">
        <v>44</v>
      </c>
      <c r="R5" s="212"/>
      <c r="S5" s="213"/>
    </row>
    <row r="6" spans="1:19" ht="16.2" thickTop="1" x14ac:dyDescent="0.3">
      <c r="A6" s="9">
        <f t="shared" ref="A6:A18" si="0">Мощ.тэна</f>
        <v>1.57</v>
      </c>
      <c r="B6" s="9">
        <f t="shared" ref="B6:B11" si="1">B7+шаг</f>
        <v>226</v>
      </c>
      <c r="C6" s="44">
        <f t="shared" ref="C6:C18" si="2">POWER((B6/B$2),2)*A6</f>
        <v>1.6568041322314053</v>
      </c>
      <c r="D6" s="35" t="s">
        <v>20</v>
      </c>
      <c r="E6" s="7"/>
      <c r="F6" s="35" t="s">
        <v>20</v>
      </c>
      <c r="G6" s="20">
        <f t="shared" ref="G6:G11" si="3">G7+шаг</f>
        <v>226</v>
      </c>
      <c r="H6" s="20">
        <f t="shared" ref="H6:H18" si="4">Ом</f>
        <v>30.828025477707005</v>
      </c>
      <c r="I6" s="42">
        <f t="shared" ref="I6:I18" si="5">G6*G6/(H6+H6*(G6/10000))/1000</f>
        <v>1.6201878860076324</v>
      </c>
    </row>
    <row r="7" spans="1:19" ht="16.2" thickBot="1" x14ac:dyDescent="0.35">
      <c r="A7" s="8">
        <f t="shared" si="0"/>
        <v>1.57</v>
      </c>
      <c r="B7" s="8">
        <f t="shared" si="1"/>
        <v>225</v>
      </c>
      <c r="C7" s="45">
        <f t="shared" si="2"/>
        <v>1.6421745867768596</v>
      </c>
      <c r="D7" s="35" t="s">
        <v>20</v>
      </c>
      <c r="E7" s="7"/>
      <c r="F7" s="35" t="s">
        <v>20</v>
      </c>
      <c r="G7" s="21">
        <f t="shared" si="3"/>
        <v>225</v>
      </c>
      <c r="H7" s="21">
        <f t="shared" si="4"/>
        <v>30.828025477707005</v>
      </c>
      <c r="I7" s="43">
        <f t="shared" si="5"/>
        <v>1.6060387156741902</v>
      </c>
    </row>
    <row r="8" spans="1:19" ht="15.6" x14ac:dyDescent="0.3">
      <c r="A8" s="9">
        <f t="shared" si="0"/>
        <v>1.57</v>
      </c>
      <c r="B8" s="9">
        <f t="shared" si="1"/>
        <v>224</v>
      </c>
      <c r="C8" s="44">
        <f t="shared" si="2"/>
        <v>1.6276099173553715</v>
      </c>
      <c r="D8" s="35" t="s">
        <v>20</v>
      </c>
      <c r="E8" s="7"/>
      <c r="F8" s="35" t="s">
        <v>20</v>
      </c>
      <c r="G8" s="20">
        <f t="shared" si="3"/>
        <v>224</v>
      </c>
      <c r="H8" s="20">
        <f t="shared" si="4"/>
        <v>30.828025477707005</v>
      </c>
      <c r="I8" s="42">
        <f t="shared" si="5"/>
        <v>1.5919502321550978</v>
      </c>
      <c r="N8" s="161" t="s">
        <v>49</v>
      </c>
      <c r="O8" s="162"/>
      <c r="P8" s="163"/>
    </row>
    <row r="9" spans="1:19" ht="16.2" thickBot="1" x14ac:dyDescent="0.35">
      <c r="A9" s="8">
        <f t="shared" si="0"/>
        <v>1.57</v>
      </c>
      <c r="B9" s="8">
        <f t="shared" si="1"/>
        <v>223</v>
      </c>
      <c r="C9" s="45">
        <f t="shared" si="2"/>
        <v>1.6131101239669423</v>
      </c>
      <c r="D9" s="35" t="s">
        <v>20</v>
      </c>
      <c r="E9" s="7"/>
      <c r="F9" s="35" t="s">
        <v>20</v>
      </c>
      <c r="G9" s="21">
        <f t="shared" si="3"/>
        <v>223</v>
      </c>
      <c r="H9" s="21">
        <f t="shared" si="4"/>
        <v>30.828025477707005</v>
      </c>
      <c r="I9" s="43">
        <f t="shared" si="5"/>
        <v>1.5779224532592606</v>
      </c>
      <c r="N9" s="164"/>
      <c r="O9" s="165"/>
      <c r="P9" s="166"/>
    </row>
    <row r="10" spans="1:19" ht="15.6" x14ac:dyDescent="0.3">
      <c r="A10" s="9">
        <f t="shared" si="0"/>
        <v>1.57</v>
      </c>
      <c r="B10" s="9">
        <f t="shared" si="1"/>
        <v>222</v>
      </c>
      <c r="C10" s="44">
        <f t="shared" si="2"/>
        <v>1.5986752066115704</v>
      </c>
      <c r="D10" s="35" t="s">
        <v>20</v>
      </c>
      <c r="E10" s="7"/>
      <c r="F10" s="35" t="s">
        <v>20</v>
      </c>
      <c r="G10" s="20">
        <f t="shared" si="3"/>
        <v>222</v>
      </c>
      <c r="H10" s="20">
        <f t="shared" si="4"/>
        <v>30.828025477707005</v>
      </c>
      <c r="I10" s="42">
        <f t="shared" si="5"/>
        <v>1.5639553968025537</v>
      </c>
      <c r="N10" s="159" t="s">
        <v>47</v>
      </c>
      <c r="O10" s="167" t="s">
        <v>53</v>
      </c>
      <c r="P10" s="168"/>
    </row>
    <row r="11" spans="1:19" ht="16.2" thickBot="1" x14ac:dyDescent="0.35">
      <c r="A11" s="8">
        <f t="shared" si="0"/>
        <v>1.57</v>
      </c>
      <c r="B11" s="8">
        <f t="shared" si="1"/>
        <v>221</v>
      </c>
      <c r="C11" s="45">
        <f t="shared" si="2"/>
        <v>1.5843051652892566</v>
      </c>
      <c r="D11" s="35" t="s">
        <v>20</v>
      </c>
      <c r="E11" s="36"/>
      <c r="F11" s="35" t="s">
        <v>20</v>
      </c>
      <c r="G11" s="21">
        <f t="shared" si="3"/>
        <v>221</v>
      </c>
      <c r="H11" s="21">
        <f t="shared" si="4"/>
        <v>30.828025477707005</v>
      </c>
      <c r="I11" s="43">
        <f t="shared" si="5"/>
        <v>1.5500490806078235</v>
      </c>
      <c r="N11" s="160"/>
      <c r="O11" s="169"/>
      <c r="P11" s="170"/>
    </row>
    <row r="12" spans="1:19" ht="18.600000000000001" thickBot="1" x14ac:dyDescent="0.4">
      <c r="A12" s="24">
        <f t="shared" si="0"/>
        <v>1.57</v>
      </c>
      <c r="B12" s="25">
        <f>вольт</f>
        <v>220</v>
      </c>
      <c r="C12" s="26">
        <f t="shared" si="2"/>
        <v>1.57</v>
      </c>
      <c r="D12" s="54">
        <f>B2*B2/Мощ.тэна/1000</f>
        <v>30.828025477707005</v>
      </c>
      <c r="E12" s="53" t="s">
        <v>22</v>
      </c>
      <c r="F12" s="7"/>
      <c r="G12" s="39">
        <f>вольт</f>
        <v>220</v>
      </c>
      <c r="H12" s="41">
        <f t="shared" si="4"/>
        <v>30.828025477707005</v>
      </c>
      <c r="I12" s="40">
        <f t="shared" si="5"/>
        <v>1.5362035225048924</v>
      </c>
      <c r="N12" s="105" t="s">
        <v>4</v>
      </c>
      <c r="O12" s="171">
        <v>40.799999999999997</v>
      </c>
      <c r="P12" s="172"/>
    </row>
    <row r="13" spans="1:19" ht="18.600000000000001" thickBot="1" x14ac:dyDescent="0.35">
      <c r="A13" s="8">
        <f t="shared" si="0"/>
        <v>1.57</v>
      </c>
      <c r="B13" s="8">
        <f t="shared" ref="B13:B18" si="6">B12-шаг</f>
        <v>219</v>
      </c>
      <c r="C13" s="45">
        <f t="shared" si="2"/>
        <v>1.5557597107438019</v>
      </c>
      <c r="D13" s="38" t="s">
        <v>21</v>
      </c>
      <c r="E13" s="37"/>
      <c r="F13" s="38" t="s">
        <v>21</v>
      </c>
      <c r="G13" s="21">
        <f t="shared" ref="G13:G18" si="7">G12-шаг</f>
        <v>219</v>
      </c>
      <c r="H13" s="21">
        <f t="shared" si="4"/>
        <v>30.828025477707005</v>
      </c>
      <c r="I13" s="43">
        <f t="shared" si="5"/>
        <v>1.5224187403305622</v>
      </c>
      <c r="N13" s="145">
        <f>((Реал_Мощность*1.6)/O15/(O12/100))/0.7893</f>
        <v>7038.5855258527263</v>
      </c>
      <c r="O13" s="173" t="s">
        <v>48</v>
      </c>
      <c r="P13" s="174"/>
    </row>
    <row r="14" spans="1:19" ht="16.2" thickBot="1" x14ac:dyDescent="0.35">
      <c r="A14" s="9">
        <f t="shared" si="0"/>
        <v>1.57</v>
      </c>
      <c r="B14" s="9">
        <f t="shared" si="6"/>
        <v>218</v>
      </c>
      <c r="C14" s="44">
        <f t="shared" si="2"/>
        <v>1.5415842975206613</v>
      </c>
      <c r="D14" s="38" t="s">
        <v>21</v>
      </c>
      <c r="E14" s="37"/>
      <c r="F14" s="38" t="s">
        <v>21</v>
      </c>
      <c r="G14" s="20">
        <f t="shared" si="7"/>
        <v>218</v>
      </c>
      <c r="H14" s="20">
        <f t="shared" si="4"/>
        <v>30.828025477707005</v>
      </c>
      <c r="I14" s="42">
        <f t="shared" si="5"/>
        <v>1.5086947519286176</v>
      </c>
      <c r="N14" s="106"/>
      <c r="O14" s="175"/>
      <c r="P14" s="176"/>
    </row>
    <row r="15" spans="1:19" ht="16.2" thickBot="1" x14ac:dyDescent="0.35">
      <c r="A15" s="8">
        <f t="shared" si="0"/>
        <v>1.57</v>
      </c>
      <c r="B15" s="8">
        <f t="shared" si="6"/>
        <v>217</v>
      </c>
      <c r="C15" s="45">
        <f t="shared" si="2"/>
        <v>1.5274737603305784</v>
      </c>
      <c r="D15" s="38" t="s">
        <v>21</v>
      </c>
      <c r="E15" s="36"/>
      <c r="F15" s="38" t="s">
        <v>21</v>
      </c>
      <c r="G15" s="21">
        <f>G14-шаг</f>
        <v>217</v>
      </c>
      <c r="H15" s="21">
        <f t="shared" si="4"/>
        <v>30.828025477707005</v>
      </c>
      <c r="I15" s="43">
        <f t="shared" si="5"/>
        <v>1.4950315751498273</v>
      </c>
      <c r="N15" s="107"/>
      <c r="O15" s="157">
        <v>1.2</v>
      </c>
      <c r="P15" s="158"/>
    </row>
    <row r="16" spans="1:19" ht="15.6" x14ac:dyDescent="0.3">
      <c r="A16" s="9">
        <f t="shared" si="0"/>
        <v>1.57</v>
      </c>
      <c r="B16" s="9">
        <f t="shared" si="6"/>
        <v>216</v>
      </c>
      <c r="C16" s="44">
        <f t="shared" si="2"/>
        <v>1.5134280991735538</v>
      </c>
      <c r="D16" s="38" t="s">
        <v>21</v>
      </c>
      <c r="E16" s="7"/>
      <c r="F16" s="38" t="s">
        <v>21</v>
      </c>
      <c r="G16" s="20">
        <f t="shared" si="7"/>
        <v>216</v>
      </c>
      <c r="H16" s="20">
        <f t="shared" si="4"/>
        <v>30.828025477707005</v>
      </c>
      <c r="I16" s="42">
        <f t="shared" si="5"/>
        <v>1.4814292278519514</v>
      </c>
    </row>
    <row r="17" spans="1:14" ht="15.6" x14ac:dyDescent="0.3">
      <c r="A17" s="8">
        <f t="shared" si="0"/>
        <v>1.57</v>
      </c>
      <c r="B17" s="8">
        <f t="shared" si="6"/>
        <v>215</v>
      </c>
      <c r="C17" s="45">
        <f t="shared" si="2"/>
        <v>1.499447314049587</v>
      </c>
      <c r="D17" s="38" t="s">
        <v>21</v>
      </c>
      <c r="E17" s="7"/>
      <c r="F17" s="38" t="s">
        <v>21</v>
      </c>
      <c r="G17" s="21">
        <f t="shared" si="7"/>
        <v>215</v>
      </c>
      <c r="H17" s="21">
        <f t="shared" si="4"/>
        <v>30.828025477707005</v>
      </c>
      <c r="I17" s="43">
        <f t="shared" si="5"/>
        <v>1.4678877278997424</v>
      </c>
      <c r="N17" s="119" t="s">
        <v>51</v>
      </c>
    </row>
    <row r="18" spans="1:14" ht="15.6" x14ac:dyDescent="0.3">
      <c r="A18" s="9">
        <f t="shared" si="0"/>
        <v>1.57</v>
      </c>
      <c r="B18" s="9">
        <f t="shared" si="6"/>
        <v>214</v>
      </c>
      <c r="C18" s="44">
        <f t="shared" si="2"/>
        <v>1.4855314049586779</v>
      </c>
      <c r="D18" s="38" t="s">
        <v>21</v>
      </c>
      <c r="E18" s="7"/>
      <c r="F18" s="38" t="s">
        <v>21</v>
      </c>
      <c r="G18" s="20">
        <f t="shared" si="7"/>
        <v>214</v>
      </c>
      <c r="H18" s="20">
        <f t="shared" si="4"/>
        <v>30.828025477707005</v>
      </c>
      <c r="I18" s="42">
        <f t="shared" si="5"/>
        <v>1.4544070931649478</v>
      </c>
      <c r="N18" s="119" t="s">
        <v>52</v>
      </c>
    </row>
  </sheetData>
  <mergeCells count="17">
    <mergeCell ref="L5:N5"/>
    <mergeCell ref="A3:E3"/>
    <mergeCell ref="L4:N4"/>
    <mergeCell ref="L2:N3"/>
    <mergeCell ref="Q5:S5"/>
    <mergeCell ref="G1:I1"/>
    <mergeCell ref="G2:I2"/>
    <mergeCell ref="A4:C4"/>
    <mergeCell ref="G4:I4"/>
    <mergeCell ref="Q2:S3"/>
    <mergeCell ref="Q4:S4"/>
    <mergeCell ref="O15:P15"/>
    <mergeCell ref="N10:N11"/>
    <mergeCell ref="N8:P9"/>
    <mergeCell ref="O10:P11"/>
    <mergeCell ref="O12:P12"/>
    <mergeCell ref="O13:P14"/>
  </mergeCells>
  <phoneticPr fontId="11" type="noConversion"/>
  <pageMargins left="0.7" right="0.7" top="0.75" bottom="0.75" header="0.3" footer="0.3"/>
  <pageSetup paperSize="9" orientation="portrait" r:id="rId1"/>
  <ignoredErrors>
    <ignoredError sqref="A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50"/>
  <sheetViews>
    <sheetView zoomScale="77" zoomScaleNormal="77" workbookViewId="0">
      <selection activeCell="B4" sqref="B4"/>
    </sheetView>
  </sheetViews>
  <sheetFormatPr defaultRowHeight="14.4" x14ac:dyDescent="0.3"/>
  <cols>
    <col min="1" max="1" width="10.21875" customWidth="1"/>
    <col min="2" max="2" width="13.6640625" customWidth="1"/>
    <col min="3" max="3" width="14.21875" customWidth="1"/>
    <col min="4" max="4" width="9.44140625" customWidth="1"/>
    <col min="5" max="5" width="10.77734375" customWidth="1"/>
    <col min="6" max="6" width="10.33203125" customWidth="1"/>
    <col min="8" max="8" width="11.33203125" customWidth="1"/>
    <col min="9" max="10" width="10.21875" customWidth="1"/>
    <col min="12" max="12" width="8.44140625" style="1" customWidth="1"/>
    <col min="13" max="13" width="26.109375" customWidth="1"/>
    <col min="14" max="14" width="10.21875" hidden="1" customWidth="1"/>
    <col min="15" max="15" width="9.109375" hidden="1" customWidth="1"/>
    <col min="16" max="16" width="23.44140625" customWidth="1"/>
    <col min="17" max="17" width="13.33203125" customWidth="1"/>
  </cols>
  <sheetData>
    <row r="1" spans="1:17" ht="29.4" customHeight="1" thickBot="1" x14ac:dyDescent="0.35">
      <c r="A1" s="223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5"/>
      <c r="L1" s="214"/>
      <c r="M1" s="215"/>
      <c r="N1" s="215"/>
      <c r="O1" s="215"/>
      <c r="P1" s="216"/>
      <c r="Q1" s="71"/>
    </row>
    <row r="2" spans="1:17" ht="33" customHeight="1" thickBot="1" x14ac:dyDescent="0.35">
      <c r="A2" s="229" t="s">
        <v>1</v>
      </c>
      <c r="B2" s="235" t="s">
        <v>28</v>
      </c>
      <c r="C2" s="231" t="s">
        <v>26</v>
      </c>
      <c r="D2" s="58" t="s">
        <v>25</v>
      </c>
      <c r="E2" s="233" t="s">
        <v>2</v>
      </c>
      <c r="F2" s="217" t="s">
        <v>9</v>
      </c>
      <c r="G2" s="218"/>
      <c r="H2" s="64" t="s">
        <v>31</v>
      </c>
      <c r="I2" s="226" t="s">
        <v>8</v>
      </c>
      <c r="J2" s="227"/>
      <c r="K2" s="228"/>
      <c r="L2" s="219" t="s">
        <v>50</v>
      </c>
      <c r="M2" s="220"/>
      <c r="N2" s="221" t="s">
        <v>7</v>
      </c>
      <c r="O2" s="222"/>
      <c r="P2" s="93" t="s">
        <v>41</v>
      </c>
      <c r="Q2" s="1"/>
    </row>
    <row r="3" spans="1:17" ht="15" customHeight="1" thickBot="1" x14ac:dyDescent="0.35">
      <c r="A3" s="230"/>
      <c r="B3" s="236"/>
      <c r="C3" s="232"/>
      <c r="D3" s="59"/>
      <c r="E3" s="234"/>
      <c r="F3" s="65" t="s">
        <v>3</v>
      </c>
      <c r="G3" s="66" t="s">
        <v>29</v>
      </c>
      <c r="H3" s="70" t="s">
        <v>30</v>
      </c>
      <c r="I3" s="77" t="s">
        <v>4</v>
      </c>
      <c r="J3" s="92" t="s">
        <v>33</v>
      </c>
      <c r="K3" s="91" t="s">
        <v>5</v>
      </c>
      <c r="L3" s="147" t="s">
        <v>6</v>
      </c>
      <c r="M3" s="117" t="s">
        <v>10</v>
      </c>
      <c r="N3" s="2" t="s">
        <v>10</v>
      </c>
      <c r="O3" s="3" t="s">
        <v>6</v>
      </c>
      <c r="P3" s="89"/>
    </row>
    <row r="4" spans="1:17" ht="15.6" x14ac:dyDescent="0.3">
      <c r="A4" s="28">
        <f t="shared" ref="A4:A23" si="0">Реал_Мощность</f>
        <v>1700</v>
      </c>
      <c r="B4" s="55">
        <v>40</v>
      </c>
      <c r="C4" s="52">
        <v>97</v>
      </c>
      <c r="D4" s="56">
        <f t="shared" ref="D4:D23" si="1">99.88772-0.93136*B4+0.02395*B4*B4-0.000365956*B4^3+0.00000293273*B4^4-0.00000000960988*B4^5</f>
        <v>84.055873088000013</v>
      </c>
      <c r="E4" s="61">
        <f t="shared" ref="E4:E23" si="2">(-0.13412+0.83749*C4-0.00116*C4*C4+0.0000276728*C4*C4*C4)/100</f>
        <v>0.95444187394400004</v>
      </c>
      <c r="F4" s="60">
        <f t="shared" ref="F4:F15" si="3">(A4*3600)/(E4*840+(1-E4)*2256)</f>
        <v>6766.0920567208905</v>
      </c>
      <c r="G4" s="67">
        <f t="shared" ref="G4:G15" si="4">F4/3.6</f>
        <v>1879.4700157558029</v>
      </c>
      <c r="H4" s="74">
        <f>((1-C4/100)*F4*1000/18+C4/100*F4*1000/46)*(22.4/273.15*(273.15+D4))</f>
        <v>4509764.5489611709</v>
      </c>
      <c r="I4" s="62">
        <f t="shared" ref="I4:I23" si="5">(F4/100*C4)/0.7893+F4/100*(100-C4)</f>
        <v>8518.0838576337992</v>
      </c>
      <c r="J4" s="78">
        <f>I4/60</f>
        <v>141.96806429389665</v>
      </c>
      <c r="K4" s="29">
        <f t="shared" ref="K4:K15" si="6">I4/3.6</f>
        <v>2366.1344048982774</v>
      </c>
      <c r="L4" s="148"/>
      <c r="M4" s="30"/>
      <c r="N4" s="4">
        <v>1</v>
      </c>
      <c r="O4" s="31">
        <f>(I4-N4)/N4+1</f>
        <v>8518.0838576337992</v>
      </c>
      <c r="P4" s="90"/>
      <c r="Q4" s="57"/>
    </row>
    <row r="5" spans="1:17" ht="15.6" x14ac:dyDescent="0.3">
      <c r="A5" s="27">
        <f t="shared" si="0"/>
        <v>1700</v>
      </c>
      <c r="B5" s="50">
        <v>90</v>
      </c>
      <c r="C5" s="72">
        <f t="shared" ref="C5:C23" si="7">1.04749494522173*B5-0.018725730342732*B5*B5+0.00011082005414225*B5*B5*B5+43.670453012901*(1-EXP(-0.246196276366746*B5^0.966659341971092))*EXP(0.0638669100921283*B5^0.437695537197651)</f>
        <v>92.406487202680481</v>
      </c>
      <c r="D5" s="51">
        <f t="shared" si="1"/>
        <v>78.949430887999966</v>
      </c>
      <c r="E5" s="73">
        <f t="shared" si="2"/>
        <v>0.89185563248075794</v>
      </c>
      <c r="F5" s="33">
        <f t="shared" si="3"/>
        <v>6162.320199798869</v>
      </c>
      <c r="G5" s="68">
        <f t="shared" si="4"/>
        <v>1711.7556110552414</v>
      </c>
      <c r="H5" s="75">
        <f>((1-C5/100)*F5*1000/18+C5/100*F5*1000/46)*(22.4/273.15*(273.15+D5))</f>
        <v>4325013.7305078907</v>
      </c>
      <c r="I5" s="32">
        <f t="shared" si="5"/>
        <v>7682.4096843674624</v>
      </c>
      <c r="J5" s="78">
        <f t="shared" ref="J5:J23" si="8">I5/60</f>
        <v>128.04016140612438</v>
      </c>
      <c r="K5" s="34">
        <f t="shared" si="6"/>
        <v>2134.0026901020728</v>
      </c>
      <c r="L5" s="149"/>
      <c r="M5" s="118"/>
      <c r="N5" s="5">
        <v>1</v>
      </c>
      <c r="O5" s="31">
        <f t="shared" ref="O5:O23" si="9">(I5-N5)/N5+1</f>
        <v>7682.4096843674624</v>
      </c>
      <c r="P5" s="90"/>
      <c r="Q5" s="57"/>
    </row>
    <row r="6" spans="1:17" ht="15.6" x14ac:dyDescent="0.3">
      <c r="A6" s="28">
        <f t="shared" si="0"/>
        <v>1700</v>
      </c>
      <c r="B6" s="55">
        <v>85</v>
      </c>
      <c r="C6" s="52">
        <f t="shared" si="7"/>
        <v>90.047311788435152</v>
      </c>
      <c r="D6" s="56">
        <f t="shared" si="1"/>
        <v>79.468932371374933</v>
      </c>
      <c r="E6" s="61">
        <f t="shared" si="2"/>
        <v>0.86079024545960225</v>
      </c>
      <c r="F6" s="60">
        <f t="shared" si="3"/>
        <v>5900.9507344426383</v>
      </c>
      <c r="G6" s="67">
        <f t="shared" si="4"/>
        <v>1639.1529817896217</v>
      </c>
      <c r="H6" s="74">
        <f>((1-C6/100)*F6*1000/18+C6/100*F6*1000/46)*(22.4/273.15*(273.15+D6))</f>
        <v>4283815.3331707977</v>
      </c>
      <c r="I6" s="62">
        <f t="shared" si="5"/>
        <v>7319.404465068239</v>
      </c>
      <c r="J6" s="78">
        <f t="shared" si="8"/>
        <v>121.99007441780398</v>
      </c>
      <c r="K6" s="29">
        <f t="shared" si="6"/>
        <v>2033.1679069633997</v>
      </c>
      <c r="L6" s="148"/>
      <c r="M6" s="30"/>
      <c r="N6" s="4">
        <v>1</v>
      </c>
      <c r="O6" s="31">
        <f t="shared" si="9"/>
        <v>7319.404465068239</v>
      </c>
      <c r="P6" s="90"/>
      <c r="Q6" s="57"/>
    </row>
    <row r="7" spans="1:17" ht="15.6" x14ac:dyDescent="0.3">
      <c r="A7" s="27">
        <f t="shared" si="0"/>
        <v>1700</v>
      </c>
      <c r="B7" s="50">
        <v>80</v>
      </c>
      <c r="C7" s="72">
        <f t="shared" si="7"/>
        <v>88.147853971936598</v>
      </c>
      <c r="D7" s="51">
        <f t="shared" si="1"/>
        <v>79.924414016000014</v>
      </c>
      <c r="E7" s="73">
        <f t="shared" si="2"/>
        <v>0.83629027659048172</v>
      </c>
      <c r="F7" s="33">
        <f t="shared" si="3"/>
        <v>5709.9514381072822</v>
      </c>
      <c r="G7" s="68">
        <f t="shared" si="4"/>
        <v>1586.0976216964673</v>
      </c>
      <c r="H7" s="75">
        <f t="shared" ref="H7:H23" si="10">((1-C7/100)*F7*1000/18+C7/100*F7*1000/46)*(22.4/273.15*(273.15+D7))</f>
        <v>4256707.7829537923</v>
      </c>
      <c r="I7" s="32">
        <f t="shared" si="5"/>
        <v>7053.5409065228978</v>
      </c>
      <c r="J7" s="78">
        <f t="shared" si="8"/>
        <v>117.55901510871496</v>
      </c>
      <c r="K7" s="34">
        <f t="shared" si="6"/>
        <v>1959.3169184785827</v>
      </c>
      <c r="L7" s="149"/>
      <c r="M7" s="118"/>
      <c r="N7" s="5">
        <v>1</v>
      </c>
      <c r="O7" s="31">
        <f t="shared" si="9"/>
        <v>7053.5409065228978</v>
      </c>
      <c r="P7" s="90"/>
      <c r="Q7" s="57"/>
    </row>
    <row r="8" spans="1:17" ht="15.6" x14ac:dyDescent="0.3">
      <c r="A8" s="28">
        <f t="shared" si="0"/>
        <v>1700</v>
      </c>
      <c r="B8" s="55">
        <v>75</v>
      </c>
      <c r="C8" s="52">
        <f t="shared" si="7"/>
        <v>86.623269736151428</v>
      </c>
      <c r="D8" s="56">
        <f t="shared" si="1"/>
        <v>80.355496953124998</v>
      </c>
      <c r="E8" s="61">
        <f t="shared" si="2"/>
        <v>0.81694757594855683</v>
      </c>
      <c r="F8" s="60">
        <f t="shared" si="3"/>
        <v>5567.6742816661645</v>
      </c>
      <c r="G8" s="67">
        <f t="shared" si="4"/>
        <v>1546.5761893517124</v>
      </c>
      <c r="H8" s="74">
        <f t="shared" si="10"/>
        <v>4238923.2798814289</v>
      </c>
      <c r="I8" s="62">
        <f t="shared" si="5"/>
        <v>6855.1256289051225</v>
      </c>
      <c r="J8" s="78">
        <f t="shared" si="8"/>
        <v>114.25209381508537</v>
      </c>
      <c r="K8" s="29">
        <f t="shared" si="6"/>
        <v>1904.2015635847563</v>
      </c>
      <c r="L8" s="148"/>
      <c r="M8" s="30"/>
      <c r="N8" s="4">
        <v>1</v>
      </c>
      <c r="O8" s="31">
        <f t="shared" si="9"/>
        <v>6855.1256289051225</v>
      </c>
      <c r="P8" s="90"/>
      <c r="Q8" s="57"/>
    </row>
    <row r="9" spans="1:17" ht="15.6" x14ac:dyDescent="0.3">
      <c r="A9" s="27">
        <f t="shared" si="0"/>
        <v>1700</v>
      </c>
      <c r="B9" s="50">
        <v>70</v>
      </c>
      <c r="C9" s="72">
        <f t="shared" si="7"/>
        <v>85.388411258005334</v>
      </c>
      <c r="D9" s="51">
        <f t="shared" si="1"/>
        <v>80.788133983999984</v>
      </c>
      <c r="E9" s="73">
        <f t="shared" si="2"/>
        <v>0.80148647497603676</v>
      </c>
      <c r="F9" s="33">
        <f t="shared" si="3"/>
        <v>5458.9478798229038</v>
      </c>
      <c r="G9" s="68">
        <f t="shared" si="4"/>
        <v>1516.3744110619177</v>
      </c>
      <c r="H9" s="75">
        <f t="shared" si="10"/>
        <v>4227396.3743768306</v>
      </c>
      <c r="I9" s="32">
        <f t="shared" si="5"/>
        <v>6703.2628146546413</v>
      </c>
      <c r="J9" s="78">
        <f t="shared" si="8"/>
        <v>111.72104691091069</v>
      </c>
      <c r="K9" s="34">
        <f t="shared" si="6"/>
        <v>1862.0174485151781</v>
      </c>
      <c r="L9" s="149"/>
      <c r="M9" s="118"/>
      <c r="N9" s="5">
        <v>1</v>
      </c>
      <c r="O9" s="31">
        <f t="shared" si="9"/>
        <v>6703.2628146546413</v>
      </c>
      <c r="P9" s="90"/>
      <c r="Q9" s="57"/>
    </row>
    <row r="10" spans="1:17" ht="15.6" x14ac:dyDescent="0.3">
      <c r="A10" s="28">
        <f t="shared" si="0"/>
        <v>1700</v>
      </c>
      <c r="B10" s="55">
        <v>65</v>
      </c>
      <c r="C10" s="52">
        <f t="shared" si="7"/>
        <v>84.357742688393557</v>
      </c>
      <c r="D10" s="56">
        <f t="shared" si="1"/>
        <v>81.238213284875002</v>
      </c>
      <c r="E10" s="61">
        <f t="shared" si="2"/>
        <v>0.78872051299588497</v>
      </c>
      <c r="F10" s="60">
        <f t="shared" si="3"/>
        <v>5372.324217723366</v>
      </c>
      <c r="G10" s="67">
        <f t="shared" si="4"/>
        <v>1492.3122827009349</v>
      </c>
      <c r="H10" s="74">
        <f t="shared" si="10"/>
        <v>4220022.6610585516</v>
      </c>
      <c r="I10" s="62">
        <f t="shared" si="5"/>
        <v>6582.1131223253933</v>
      </c>
      <c r="J10" s="78">
        <f t="shared" si="8"/>
        <v>109.70188537208989</v>
      </c>
      <c r="K10" s="29">
        <f t="shared" si="6"/>
        <v>1828.364756201498</v>
      </c>
      <c r="L10" s="148"/>
      <c r="M10" s="30"/>
      <c r="N10" s="4">
        <v>1</v>
      </c>
      <c r="O10" s="31">
        <f t="shared" si="9"/>
        <v>6582.1131223253933</v>
      </c>
      <c r="P10" s="90"/>
      <c r="Q10" s="57"/>
    </row>
    <row r="11" spans="1:17" ht="15.6" x14ac:dyDescent="0.3">
      <c r="A11" s="27">
        <f t="shared" si="0"/>
        <v>1700</v>
      </c>
      <c r="B11" s="50">
        <v>60</v>
      </c>
      <c r="C11" s="72">
        <f t="shared" si="7"/>
        <v>83.445216643308569</v>
      </c>
      <c r="D11" s="51">
        <f t="shared" si="1"/>
        <v>81.715162111999987</v>
      </c>
      <c r="E11" s="73">
        <f t="shared" si="2"/>
        <v>0.77752154721746491</v>
      </c>
      <c r="F11" s="33">
        <f t="shared" si="3"/>
        <v>5298.5660171814288</v>
      </c>
      <c r="G11" s="68">
        <f t="shared" si="4"/>
        <v>1471.823893661508</v>
      </c>
      <c r="H11" s="75">
        <f t="shared" si="10"/>
        <v>4215268.1003022622</v>
      </c>
      <c r="I11" s="32">
        <f t="shared" si="5"/>
        <v>6478.8383562791478</v>
      </c>
      <c r="J11" s="78">
        <f t="shared" si="8"/>
        <v>107.98063927131913</v>
      </c>
      <c r="K11" s="34">
        <f t="shared" si="6"/>
        <v>1799.6773211886521</v>
      </c>
      <c r="L11" s="149"/>
      <c r="M11" s="118"/>
      <c r="N11" s="5">
        <v>1</v>
      </c>
      <c r="O11" s="31">
        <f t="shared" si="9"/>
        <v>6478.8383562791478</v>
      </c>
      <c r="P11" s="90"/>
      <c r="Q11" s="57"/>
    </row>
    <row r="12" spans="1:17" ht="16.2" thickBot="1" x14ac:dyDescent="0.35">
      <c r="A12" s="28">
        <f t="shared" si="0"/>
        <v>1700</v>
      </c>
      <c r="B12" s="55">
        <v>55</v>
      </c>
      <c r="C12" s="52">
        <f t="shared" si="7"/>
        <v>82.5640776125108</v>
      </c>
      <c r="D12" s="56">
        <f t="shared" si="1"/>
        <v>82.225550506624998</v>
      </c>
      <c r="E12" s="61">
        <f t="shared" si="2"/>
        <v>0.76679894527739156</v>
      </c>
      <c r="F12" s="60">
        <f t="shared" si="3"/>
        <v>5229.8185056961793</v>
      </c>
      <c r="G12" s="67">
        <f t="shared" si="4"/>
        <v>1452.7273626933832</v>
      </c>
      <c r="H12" s="74">
        <f t="shared" si="10"/>
        <v>4211974.4378819801</v>
      </c>
      <c r="I12" s="62">
        <f t="shared" si="5"/>
        <v>6382.4757489429539</v>
      </c>
      <c r="J12" s="78">
        <f t="shared" si="8"/>
        <v>106.37459581571589</v>
      </c>
      <c r="K12" s="29">
        <f t="shared" si="6"/>
        <v>1772.9099302619315</v>
      </c>
      <c r="L12" s="150"/>
      <c r="M12" s="88"/>
      <c r="N12" s="4">
        <v>1</v>
      </c>
      <c r="O12" s="31">
        <f t="shared" si="9"/>
        <v>6382.4757489429539</v>
      </c>
      <c r="P12" s="90"/>
      <c r="Q12" s="57"/>
    </row>
    <row r="13" spans="1:17" ht="16.2" thickBot="1" x14ac:dyDescent="0.35">
      <c r="A13" s="27">
        <f t="shared" si="0"/>
        <v>1700</v>
      </c>
      <c r="B13" s="50">
        <v>50</v>
      </c>
      <c r="C13" s="72">
        <f t="shared" si="7"/>
        <v>81.626512943299815</v>
      </c>
      <c r="D13" s="51">
        <f t="shared" si="1"/>
        <v>82.776694999999989</v>
      </c>
      <c r="E13" s="73">
        <f t="shared" si="2"/>
        <v>0.7554867688995216</v>
      </c>
      <c r="F13" s="33">
        <f t="shared" si="3"/>
        <v>5159.1986433994052</v>
      </c>
      <c r="G13" s="68">
        <f t="shared" si="4"/>
        <v>1433.1107342776124</v>
      </c>
      <c r="H13" s="75">
        <f t="shared" si="10"/>
        <v>4209286.8682937464</v>
      </c>
      <c r="I13" s="32">
        <f t="shared" si="5"/>
        <v>6283.3788295556706</v>
      </c>
      <c r="J13" s="78">
        <f t="shared" si="8"/>
        <v>104.72298049259452</v>
      </c>
      <c r="K13" s="34">
        <f t="shared" si="6"/>
        <v>1745.3830082099084</v>
      </c>
      <c r="L13" s="151">
        <f>P13</f>
        <v>5.3327034440719281</v>
      </c>
      <c r="M13" s="97">
        <f>I13/(L13)</f>
        <v>1178.2726895380908</v>
      </c>
      <c r="N13" s="94">
        <f t="shared" ref="N13:N23" si="11">M13</f>
        <v>1178.2726895380908</v>
      </c>
      <c r="O13" s="31">
        <f t="shared" si="9"/>
        <v>5.3327034440719281</v>
      </c>
      <c r="P13" s="104">
        <f>'расчёт ФЧ по Т куба'!N4</f>
        <v>5.3327034440719281</v>
      </c>
      <c r="Q13" s="57"/>
    </row>
    <row r="14" spans="1:17" ht="16.2" thickBot="1" x14ac:dyDescent="0.35">
      <c r="A14" s="28">
        <f t="shared" si="0"/>
        <v>1700</v>
      </c>
      <c r="B14" s="55">
        <v>45</v>
      </c>
      <c r="C14" s="52">
        <f t="shared" si="7"/>
        <v>80.542951349080056</v>
      </c>
      <c r="D14" s="56">
        <f t="shared" si="1"/>
        <v>83.380262318374989</v>
      </c>
      <c r="E14" s="61">
        <f t="shared" si="2"/>
        <v>0.74253598195779402</v>
      </c>
      <c r="F14" s="60">
        <f t="shared" si="3"/>
        <v>5080.6551955636387</v>
      </c>
      <c r="G14" s="67">
        <f t="shared" si="4"/>
        <v>1411.2931098787885</v>
      </c>
      <c r="H14" s="74">
        <f t="shared" si="10"/>
        <v>4206664.8660843987</v>
      </c>
      <c r="I14" s="62">
        <f t="shared" si="5"/>
        <v>6173.0250190134084</v>
      </c>
      <c r="J14" s="78">
        <f t="shared" si="8"/>
        <v>102.88375031689014</v>
      </c>
      <c r="K14" s="29">
        <f t="shared" si="6"/>
        <v>1714.7291719481689</v>
      </c>
      <c r="L14" s="152">
        <f t="shared" ref="L14:L23" si="12">P14</f>
        <v>5.2608298755186729</v>
      </c>
      <c r="M14" s="97">
        <f t="shared" ref="M14:M23" si="13">I14/(L14)</f>
        <v>1173.3937734310027</v>
      </c>
      <c r="N14" s="95">
        <f t="shared" si="11"/>
        <v>1173.3937734310027</v>
      </c>
      <c r="O14" s="31">
        <f t="shared" si="9"/>
        <v>5.2608298755186729</v>
      </c>
      <c r="P14" s="104">
        <f>'расчёт ФЧ по Т куба'!N5</f>
        <v>5.2608298755186729</v>
      </c>
      <c r="Q14" s="57"/>
    </row>
    <row r="15" spans="1:17" ht="16.2" thickBot="1" x14ac:dyDescent="0.35">
      <c r="A15" s="27">
        <f t="shared" si="0"/>
        <v>1700</v>
      </c>
      <c r="B15" s="50">
        <v>40</v>
      </c>
      <c r="C15" s="72">
        <f t="shared" si="7"/>
        <v>79.220478890794155</v>
      </c>
      <c r="D15" s="51">
        <f t="shared" si="1"/>
        <v>84.055873088000013</v>
      </c>
      <c r="E15" s="73">
        <f t="shared" si="2"/>
        <v>0.72690535900275011</v>
      </c>
      <c r="F15" s="33">
        <f t="shared" si="3"/>
        <v>4988.9866828845143</v>
      </c>
      <c r="G15" s="68">
        <f t="shared" si="4"/>
        <v>1385.8296341345872</v>
      </c>
      <c r="H15" s="75">
        <f t="shared" si="10"/>
        <v>4203950.0930786598</v>
      </c>
      <c r="I15" s="32">
        <f t="shared" si="5"/>
        <v>6044.0347371287662</v>
      </c>
      <c r="J15" s="78">
        <f t="shared" si="8"/>
        <v>100.73391228547943</v>
      </c>
      <c r="K15" s="34">
        <f t="shared" si="6"/>
        <v>1678.8985380913239</v>
      </c>
      <c r="L15" s="151">
        <f t="shared" si="12"/>
        <v>5.215208545269582</v>
      </c>
      <c r="M15" s="97">
        <f t="shared" si="13"/>
        <v>1158.9248415791474</v>
      </c>
      <c r="N15" s="94">
        <f t="shared" si="11"/>
        <v>1158.9248415791474</v>
      </c>
      <c r="O15" s="31">
        <f t="shared" si="9"/>
        <v>5.215208545269582</v>
      </c>
      <c r="P15" s="104">
        <f>'расчёт ФЧ по Т куба'!N6</f>
        <v>5.215208545269582</v>
      </c>
      <c r="Q15" s="57"/>
    </row>
    <row r="16" spans="1:17" ht="16.2" thickBot="1" x14ac:dyDescent="0.35">
      <c r="A16" s="28">
        <f t="shared" si="0"/>
        <v>1700</v>
      </c>
      <c r="B16" s="55">
        <v>35</v>
      </c>
      <c r="C16" s="52">
        <f t="shared" si="7"/>
        <v>77.558920550822819</v>
      </c>
      <c r="D16" s="56">
        <f t="shared" si="1"/>
        <v>84.834705540125</v>
      </c>
      <c r="E16" s="61">
        <f>(-0.13412+0.83749*C16-0.00116*C16*C16+0.0000276728*C16*C16*C16)/100</f>
        <v>0.70753510295307942</v>
      </c>
      <c r="F16" s="60">
        <f t="shared" ref="F16:F23" si="14">(A16*3600)/(E16*840+(1-E16)*2256)</f>
        <v>4879.8757419490594</v>
      </c>
      <c r="G16" s="67">
        <f t="shared" ref="G16:G23" si="15">F16/3.6</f>
        <v>1355.5210394302942</v>
      </c>
      <c r="H16" s="74">
        <f t="shared" si="10"/>
        <v>4201467.7555243904</v>
      </c>
      <c r="I16" s="62">
        <f t="shared" si="5"/>
        <v>5890.2050523468479</v>
      </c>
      <c r="J16" s="78">
        <f t="shared" si="8"/>
        <v>98.170084205780796</v>
      </c>
      <c r="K16" s="29">
        <f t="shared" ref="K16:K23" si="16">I16/3.6</f>
        <v>1636.1680700963466</v>
      </c>
      <c r="L16" s="152">
        <f t="shared" si="12"/>
        <v>5.2468817204301068</v>
      </c>
      <c r="M16" s="97">
        <f t="shared" si="13"/>
        <v>1122.6106030581543</v>
      </c>
      <c r="N16" s="95">
        <f t="shared" si="11"/>
        <v>1122.6106030581543</v>
      </c>
      <c r="O16" s="31">
        <f t="shared" si="9"/>
        <v>5.2468817204301068</v>
      </c>
      <c r="P16" s="104">
        <f>'расчёт ФЧ по Т куба'!N7</f>
        <v>5.2468817204301068</v>
      </c>
      <c r="Q16" s="57"/>
    </row>
    <row r="17" spans="1:18" ht="16.2" thickBot="1" x14ac:dyDescent="0.35">
      <c r="A17" s="27">
        <f t="shared" si="0"/>
        <v>1700</v>
      </c>
      <c r="B17" s="50">
        <v>30</v>
      </c>
      <c r="C17" s="72">
        <f t="shared" si="7"/>
        <v>75.440518840805481</v>
      </c>
      <c r="D17" s="51">
        <f t="shared" si="1"/>
        <v>85.763099215999986</v>
      </c>
      <c r="E17" s="73">
        <f t="shared" si="2"/>
        <v>0.68326070704554909</v>
      </c>
      <c r="F17" s="33">
        <f t="shared" si="14"/>
        <v>4749.6984993746764</v>
      </c>
      <c r="G17" s="68">
        <f t="shared" si="15"/>
        <v>1319.3606942707434</v>
      </c>
      <c r="H17" s="75">
        <f t="shared" si="10"/>
        <v>4200140.386107021</v>
      </c>
      <c r="I17" s="32">
        <f t="shared" si="5"/>
        <v>5706.216487728123</v>
      </c>
      <c r="J17" s="78">
        <f t="shared" si="8"/>
        <v>95.103608128802051</v>
      </c>
      <c r="K17" s="34">
        <f t="shared" si="16"/>
        <v>1585.0601354800342</v>
      </c>
      <c r="L17" s="151">
        <f t="shared" si="12"/>
        <v>5.3418514285714283</v>
      </c>
      <c r="M17" s="97">
        <f t="shared" si="13"/>
        <v>1068.2095082629689</v>
      </c>
      <c r="N17" s="94">
        <f t="shared" si="11"/>
        <v>1068.2095082629689</v>
      </c>
      <c r="O17" s="31">
        <f t="shared" si="9"/>
        <v>5.3418514285714274</v>
      </c>
      <c r="P17" s="104">
        <f>'расчёт ФЧ по Т куба'!N8</f>
        <v>5.3418514285714283</v>
      </c>
      <c r="Q17" s="57"/>
    </row>
    <row r="18" spans="1:18" ht="16.2" thickBot="1" x14ac:dyDescent="0.35">
      <c r="A18" s="28">
        <f t="shared" si="0"/>
        <v>1700</v>
      </c>
      <c r="B18" s="55">
        <v>25</v>
      </c>
      <c r="C18" s="52">
        <f t="shared" si="7"/>
        <v>72.701612204926079</v>
      </c>
      <c r="D18" s="56">
        <f t="shared" si="1"/>
        <v>86.906158671875005</v>
      </c>
      <c r="E18" s="61">
        <f t="shared" si="2"/>
        <v>0.6525526509983014</v>
      </c>
      <c r="F18" s="60">
        <f t="shared" si="14"/>
        <v>4594.6447969999326</v>
      </c>
      <c r="G18" s="67">
        <f t="shared" si="15"/>
        <v>1276.2902213888701</v>
      </c>
      <c r="H18" s="74">
        <f t="shared" si="10"/>
        <v>4201620.1407913743</v>
      </c>
      <c r="I18" s="62">
        <f t="shared" si="5"/>
        <v>5486.3440792963775</v>
      </c>
      <c r="J18" s="78">
        <f t="shared" si="8"/>
        <v>91.439067988272953</v>
      </c>
      <c r="K18" s="29">
        <f t="shared" si="16"/>
        <v>1523.9844664712159</v>
      </c>
      <c r="L18" s="152">
        <f t="shared" si="12"/>
        <v>5.5142030276046299</v>
      </c>
      <c r="M18" s="97">
        <f t="shared" si="13"/>
        <v>994.94778335712567</v>
      </c>
      <c r="N18" s="95">
        <f t="shared" si="11"/>
        <v>994.94778335712567</v>
      </c>
      <c r="O18" s="31">
        <f t="shared" si="9"/>
        <v>5.5142030276046299</v>
      </c>
      <c r="P18" s="104">
        <f>'расчёт ФЧ по Т куба'!N9</f>
        <v>5.5142030276046299</v>
      </c>
      <c r="Q18" s="57"/>
      <c r="R18" s="96"/>
    </row>
    <row r="19" spans="1:18" ht="16.2" thickBot="1" x14ac:dyDescent="0.35">
      <c r="A19" s="27">
        <f t="shared" si="0"/>
        <v>1700</v>
      </c>
      <c r="B19" s="50">
        <v>20</v>
      </c>
      <c r="C19" s="72">
        <f t="shared" si="7"/>
        <v>69.052764433738901</v>
      </c>
      <c r="D19" s="51">
        <f t="shared" si="1"/>
        <v>88.351357183999994</v>
      </c>
      <c r="E19" s="73">
        <f t="shared" si="2"/>
        <v>0.6127730490699782</v>
      </c>
      <c r="F19" s="33">
        <f t="shared" si="14"/>
        <v>4408.2266765083114</v>
      </c>
      <c r="G19" s="68">
        <f t="shared" si="15"/>
        <v>1224.5074101411976</v>
      </c>
      <c r="H19" s="75">
        <f t="shared" si="10"/>
        <v>4208580.0812766813</v>
      </c>
      <c r="I19" s="32">
        <f t="shared" si="5"/>
        <v>5220.8090938668483</v>
      </c>
      <c r="J19" s="78">
        <f t="shared" si="8"/>
        <v>87.013484897780799</v>
      </c>
      <c r="K19" s="34">
        <f t="shared" si="16"/>
        <v>1450.2247482963467</v>
      </c>
      <c r="L19" s="151">
        <f t="shared" si="12"/>
        <v>5.7947473404255314</v>
      </c>
      <c r="M19" s="97">
        <f t="shared" si="13"/>
        <v>900.95543207643345</v>
      </c>
      <c r="N19" s="94">
        <f t="shared" si="11"/>
        <v>900.95543207643345</v>
      </c>
      <c r="O19" s="31">
        <f t="shared" si="9"/>
        <v>5.7947473404255314</v>
      </c>
      <c r="P19" s="104">
        <f>'расчёт ФЧ по Т куба'!N10</f>
        <v>5.7947473404255314</v>
      </c>
      <c r="Q19" s="57"/>
    </row>
    <row r="20" spans="1:18" ht="16.2" thickBot="1" x14ac:dyDescent="0.35">
      <c r="A20" s="28">
        <f t="shared" si="0"/>
        <v>1700</v>
      </c>
      <c r="B20" s="55">
        <v>15</v>
      </c>
      <c r="C20" s="52">
        <f t="shared" si="7"/>
        <v>63.848789255907363</v>
      </c>
      <c r="D20" s="56">
        <f t="shared" si="1"/>
        <v>90.212140453625011</v>
      </c>
      <c r="E20" s="61">
        <f t="shared" si="2"/>
        <v>0.55812629423394755</v>
      </c>
      <c r="F20" s="60">
        <f t="shared" si="14"/>
        <v>4175.4987580405832</v>
      </c>
      <c r="G20" s="67">
        <f t="shared" si="15"/>
        <v>1159.8607661223841</v>
      </c>
      <c r="H20" s="74">
        <f t="shared" si="10"/>
        <v>4225868.2213771939</v>
      </c>
      <c r="I20" s="62">
        <f t="shared" si="5"/>
        <v>4887.1766223337527</v>
      </c>
      <c r="J20" s="78">
        <f t="shared" si="8"/>
        <v>81.452943705562546</v>
      </c>
      <c r="K20" s="29">
        <f t="shared" si="16"/>
        <v>1357.5490617593757</v>
      </c>
      <c r="L20" s="152">
        <f t="shared" si="12"/>
        <v>6.2718814139110606</v>
      </c>
      <c r="M20" s="97">
        <f t="shared" si="13"/>
        <v>779.22018925516886</v>
      </c>
      <c r="N20" s="95">
        <f t="shared" si="11"/>
        <v>779.22018925516886</v>
      </c>
      <c r="O20" s="31">
        <f t="shared" si="9"/>
        <v>6.2718814139110597</v>
      </c>
      <c r="P20" s="104">
        <f>'расчёт ФЧ по Т куба'!N11</f>
        <v>6.2718814139110606</v>
      </c>
      <c r="Q20" s="57"/>
    </row>
    <row r="21" spans="1:18" ht="16.2" thickBot="1" x14ac:dyDescent="0.35">
      <c r="A21" s="27">
        <f t="shared" si="0"/>
        <v>1700</v>
      </c>
      <c r="B21" s="50">
        <v>10</v>
      </c>
      <c r="C21" s="72">
        <f t="shared" si="7"/>
        <v>55.413316209586611</v>
      </c>
      <c r="D21" s="51">
        <f t="shared" si="1"/>
        <v>92.63153031200001</v>
      </c>
      <c r="E21" s="73">
        <f t="shared" si="2"/>
        <v>0.47420681320431662</v>
      </c>
      <c r="F21" s="33">
        <f t="shared" si="14"/>
        <v>3862.3607299986234</v>
      </c>
      <c r="G21" s="68">
        <f t="shared" si="15"/>
        <v>1072.8779805551731</v>
      </c>
      <c r="H21" s="75">
        <f t="shared" si="10"/>
        <v>4265470.103865454</v>
      </c>
      <c r="I21" s="32">
        <f t="shared" si="5"/>
        <v>4433.6938581547429</v>
      </c>
      <c r="J21" s="78">
        <f t="shared" si="8"/>
        <v>73.894897635912386</v>
      </c>
      <c r="K21" s="34">
        <f t="shared" si="16"/>
        <v>1231.5816272652064</v>
      </c>
      <c r="L21" s="151">
        <f t="shared" si="12"/>
        <v>7.2821554770318011</v>
      </c>
      <c r="M21" s="97">
        <f t="shared" si="13"/>
        <v>608.84361397374505</v>
      </c>
      <c r="N21" s="94">
        <f t="shared" si="11"/>
        <v>608.84361397374505</v>
      </c>
      <c r="O21" s="31">
        <f t="shared" si="9"/>
        <v>7.2821554770318011</v>
      </c>
      <c r="P21" s="104">
        <f>'расчёт ФЧ по Т куба'!N12</f>
        <v>7.2821554770318011</v>
      </c>
      <c r="Q21" s="57"/>
    </row>
    <row r="22" spans="1:18" ht="16.2" thickBot="1" x14ac:dyDescent="0.35">
      <c r="A22" s="28">
        <f t="shared" si="0"/>
        <v>1700</v>
      </c>
      <c r="B22" s="55">
        <v>5</v>
      </c>
      <c r="C22" s="52">
        <f t="shared" si="7"/>
        <v>39.001395052684863</v>
      </c>
      <c r="D22" s="56">
        <f t="shared" si="1"/>
        <v>95.785728425374998</v>
      </c>
      <c r="E22" s="61">
        <f t="shared" si="2"/>
        <v>0.32406371100228382</v>
      </c>
      <c r="F22" s="60">
        <f t="shared" si="14"/>
        <v>3405.4377552922342</v>
      </c>
      <c r="G22" s="67">
        <f t="shared" si="15"/>
        <v>945.95493202562056</v>
      </c>
      <c r="H22" s="74">
        <f t="shared" si="10"/>
        <v>4365106.9342382662</v>
      </c>
      <c r="I22" s="62">
        <f t="shared" si="5"/>
        <v>3759.9861482070446</v>
      </c>
      <c r="J22" s="78">
        <f t="shared" si="8"/>
        <v>62.666435803450746</v>
      </c>
      <c r="K22" s="29">
        <f t="shared" si="16"/>
        <v>1044.4405967241789</v>
      </c>
      <c r="L22" s="152">
        <f t="shared" si="12"/>
        <v>10.336232876712327</v>
      </c>
      <c r="M22" s="97">
        <f t="shared" si="13"/>
        <v>363.76755371662966</v>
      </c>
      <c r="N22" s="95">
        <f t="shared" si="11"/>
        <v>363.76755371662966</v>
      </c>
      <c r="O22" s="31">
        <f t="shared" si="9"/>
        <v>10.336232876712327</v>
      </c>
      <c r="P22" s="104">
        <f>'расчёт ФЧ по Т куба'!N13</f>
        <v>10.336232876712327</v>
      </c>
      <c r="Q22" s="57"/>
    </row>
    <row r="23" spans="1:18" ht="16.2" thickBot="1" x14ac:dyDescent="0.35">
      <c r="A23" s="27">
        <f t="shared" si="0"/>
        <v>1700</v>
      </c>
      <c r="B23" s="50">
        <v>1</v>
      </c>
      <c r="C23" s="72">
        <f t="shared" si="7"/>
        <v>11.187662247233877</v>
      </c>
      <c r="D23" s="51">
        <f t="shared" si="1"/>
        <v>98.979946967120128</v>
      </c>
      <c r="E23" s="73">
        <f t="shared" si="2"/>
        <v>9.1289952128336557E-2</v>
      </c>
      <c r="F23" s="63">
        <f t="shared" si="14"/>
        <v>2877.6526103557471</v>
      </c>
      <c r="G23" s="69">
        <f t="shared" si="15"/>
        <v>799.34794732104081</v>
      </c>
      <c r="H23" s="76">
        <f t="shared" si="10"/>
        <v>4546499.6171528529</v>
      </c>
      <c r="I23" s="32">
        <f t="shared" si="5"/>
        <v>2963.5935592019428</v>
      </c>
      <c r="J23" s="78">
        <f t="shared" si="8"/>
        <v>49.393225986699044</v>
      </c>
      <c r="K23" s="34">
        <f t="shared" si="16"/>
        <v>823.22043311165078</v>
      </c>
      <c r="L23" s="151">
        <f t="shared" si="12"/>
        <v>38.324539877300616</v>
      </c>
      <c r="M23" s="97">
        <f t="shared" si="13"/>
        <v>77.328875146059104</v>
      </c>
      <c r="N23" s="94">
        <f t="shared" si="11"/>
        <v>77.328875146059104</v>
      </c>
      <c r="O23" s="31">
        <f t="shared" si="9"/>
        <v>38.324539877300616</v>
      </c>
      <c r="P23" s="104">
        <f>'расчёт ФЧ по Т куба'!N14</f>
        <v>38.324539877300616</v>
      </c>
      <c r="Q23" s="57"/>
    </row>
    <row r="24" spans="1:18" x14ac:dyDescent="0.3">
      <c r="L24" s="1" t="s">
        <v>16</v>
      </c>
    </row>
    <row r="30" spans="1:18" x14ac:dyDescent="0.3">
      <c r="K30" s="1"/>
    </row>
    <row r="50" spans="7:7" x14ac:dyDescent="0.3">
      <c r="G50" t="s">
        <v>67</v>
      </c>
    </row>
  </sheetData>
  <mergeCells count="10">
    <mergeCell ref="L1:P1"/>
    <mergeCell ref="F2:G2"/>
    <mergeCell ref="L2:M2"/>
    <mergeCell ref="N2:O2"/>
    <mergeCell ref="A1:K1"/>
    <mergeCell ref="I2:K2"/>
    <mergeCell ref="A2:A3"/>
    <mergeCell ref="C2:C3"/>
    <mergeCell ref="E2:E3"/>
    <mergeCell ref="B2:B3"/>
  </mergeCells>
  <phoneticPr fontId="11" type="noConversion"/>
  <pageMargins left="0.7" right="0.7" top="0.75" bottom="0.75" header="0.3" footer="0.3"/>
  <pageSetup paperSize="9" orientation="portrait" r:id="rId1"/>
  <ignoredErrors>
    <ignoredError sqref="I4:I2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S37"/>
  <sheetViews>
    <sheetView tabSelected="1" workbookViewId="0">
      <selection activeCell="L4" sqref="L4"/>
    </sheetView>
  </sheetViews>
  <sheetFormatPr defaultRowHeight="14.4" x14ac:dyDescent="0.3"/>
  <cols>
    <col min="1" max="1" width="14.88671875" style="81" customWidth="1"/>
    <col min="2" max="2" width="14" customWidth="1"/>
    <col min="3" max="3" width="13.88671875" style="6" customWidth="1"/>
    <col min="4" max="4" width="11" style="6" customWidth="1"/>
    <col min="5" max="5" width="12.88671875" style="6" customWidth="1"/>
    <col min="6" max="6" width="13.5546875" style="6" customWidth="1"/>
    <col min="7" max="7" width="17.77734375" style="6" customWidth="1"/>
    <col min="8" max="8" width="10.77734375" style="81" customWidth="1"/>
    <col min="9" max="10" width="14.109375" bestFit="1" customWidth="1"/>
    <col min="11" max="11" width="12.88671875" customWidth="1"/>
    <col min="12" max="12" width="24.88671875" style="6" customWidth="1"/>
    <col min="13" max="13" width="10.21875" style="85" customWidth="1"/>
    <col min="14" max="14" width="9.109375" style="85" customWidth="1"/>
    <col min="15" max="15" width="10.109375" customWidth="1"/>
    <col min="16" max="16" width="9.109375" style="1"/>
    <col min="17" max="17" width="11.33203125" customWidth="1"/>
    <col min="18" max="18" width="11.33203125" style="1" customWidth="1"/>
    <col min="19" max="19" width="12" style="1" bestFit="1" customWidth="1"/>
  </cols>
  <sheetData>
    <row r="1" spans="1:15" ht="108.75" customHeight="1" thickBot="1" x14ac:dyDescent="0.35">
      <c r="A1" s="264" t="s">
        <v>54</v>
      </c>
      <c r="B1" s="264"/>
      <c r="C1" s="265" t="s">
        <v>34</v>
      </c>
      <c r="D1" s="265"/>
      <c r="E1" s="265">
        <v>0</v>
      </c>
      <c r="F1" s="265"/>
      <c r="G1" s="136" t="s">
        <v>35</v>
      </c>
      <c r="H1" s="137" t="s">
        <v>58</v>
      </c>
      <c r="I1" s="140" t="s">
        <v>61</v>
      </c>
      <c r="J1" s="140" t="s">
        <v>56</v>
      </c>
      <c r="K1" s="137" t="s">
        <v>60</v>
      </c>
      <c r="L1" s="144" t="s">
        <v>65</v>
      </c>
      <c r="M1" s="137" t="s">
        <v>36</v>
      </c>
      <c r="N1" s="261" t="s">
        <v>37</v>
      </c>
      <c r="O1" s="237" t="s">
        <v>63</v>
      </c>
    </row>
    <row r="2" spans="1:15" ht="16.5" customHeight="1" thickBot="1" x14ac:dyDescent="0.35">
      <c r="A2" s="248" t="s">
        <v>38</v>
      </c>
      <c r="B2" s="246" t="s">
        <v>45</v>
      </c>
      <c r="C2" s="246" t="s">
        <v>39</v>
      </c>
      <c r="D2" s="246" t="s">
        <v>59</v>
      </c>
      <c r="E2" s="253" t="s">
        <v>38</v>
      </c>
      <c r="F2" s="246" t="s">
        <v>57</v>
      </c>
      <c r="G2" s="246" t="s">
        <v>55</v>
      </c>
      <c r="H2" s="248" t="s">
        <v>42</v>
      </c>
      <c r="I2" s="143">
        <v>741</v>
      </c>
      <c r="J2" s="143">
        <v>22</v>
      </c>
      <c r="K2" s="249" t="s">
        <v>42</v>
      </c>
      <c r="L2" s="251">
        <v>3.3</v>
      </c>
      <c r="M2" s="259"/>
      <c r="N2" s="262"/>
      <c r="O2" s="238"/>
    </row>
    <row r="3" spans="1:15" ht="15" thickBot="1" x14ac:dyDescent="0.35">
      <c r="A3" s="266"/>
      <c r="B3" s="267"/>
      <c r="C3" s="247"/>
      <c r="D3" s="247"/>
      <c r="E3" s="254"/>
      <c r="F3" s="247"/>
      <c r="G3" s="247"/>
      <c r="H3" s="247"/>
      <c r="I3" s="141" t="s">
        <v>62</v>
      </c>
      <c r="J3" s="142"/>
      <c r="K3" s="250"/>
      <c r="L3" s="252"/>
      <c r="M3" s="260"/>
      <c r="N3" s="263"/>
      <c r="O3" s="239"/>
    </row>
    <row r="4" spans="1:15" ht="18.600000000000001" thickBot="1" x14ac:dyDescent="0.4">
      <c r="A4" s="129">
        <v>97</v>
      </c>
      <c r="B4" s="129">
        <v>95.44</v>
      </c>
      <c r="C4" s="80">
        <f>A4</f>
        <v>97</v>
      </c>
      <c r="D4" s="80">
        <f>B4</f>
        <v>95.44</v>
      </c>
      <c r="E4" s="125">
        <v>50</v>
      </c>
      <c r="F4" s="127">
        <v>42.42</v>
      </c>
      <c r="G4" s="121">
        <v>75.23</v>
      </c>
      <c r="H4" s="131">
        <v>82.724999999999994</v>
      </c>
      <c r="I4" s="130">
        <f>(I2-760)*0.034</f>
        <v>-0.64600000000000002</v>
      </c>
      <c r="J4" s="135">
        <f>J2*0.034</f>
        <v>0.748</v>
      </c>
      <c r="K4" s="131">
        <f>H4+I4+J4</f>
        <v>82.826999999999998</v>
      </c>
      <c r="L4" s="138">
        <f>L2</f>
        <v>3.3</v>
      </c>
      <c r="M4" s="79">
        <f>(D4-F4)/(G4-F4)</f>
        <v>1.6159707406278572</v>
      </c>
      <c r="N4" s="102">
        <f>(M4*L2)</f>
        <v>5.3327034440719281</v>
      </c>
      <c r="O4" s="103">
        <f>'генер. спирт. пара'!M13</f>
        <v>1178.2726895380908</v>
      </c>
    </row>
    <row r="5" spans="1:15" ht="15" thickBot="1" x14ac:dyDescent="0.35">
      <c r="A5" s="255"/>
      <c r="B5" s="256"/>
      <c r="C5" s="79">
        <f>A4</f>
        <v>97</v>
      </c>
      <c r="D5" s="80">
        <f>B4</f>
        <v>95.44</v>
      </c>
      <c r="E5" s="126">
        <v>45</v>
      </c>
      <c r="F5" s="128">
        <v>37.81</v>
      </c>
      <c r="G5" s="122">
        <v>73.959999999999994</v>
      </c>
      <c r="H5" s="132">
        <v>83.418999999999997</v>
      </c>
      <c r="I5" s="240"/>
      <c r="J5" s="241"/>
      <c r="K5" s="132">
        <f>H5+I4+J4</f>
        <v>83.521000000000001</v>
      </c>
      <c r="L5" s="138">
        <f t="shared" ref="L5:L14" si="0">L4</f>
        <v>3.3</v>
      </c>
      <c r="M5" s="79">
        <f t="shared" ref="M5:M14" si="1">(D5-F5)/(G5-F5)</f>
        <v>1.5941908713692949</v>
      </c>
      <c r="N5" s="102">
        <f t="shared" ref="N5:N14" si="2">(M5*L4)</f>
        <v>5.2608298755186729</v>
      </c>
      <c r="O5" s="103">
        <f>'генер. спирт. пара'!M14</f>
        <v>1173.3937734310027</v>
      </c>
    </row>
    <row r="6" spans="1:15" ht="15" thickBot="1" x14ac:dyDescent="0.35">
      <c r="A6" s="257"/>
      <c r="B6" s="258"/>
      <c r="C6" s="79">
        <f>A4</f>
        <v>97</v>
      </c>
      <c r="D6" s="79">
        <f>B4</f>
        <v>95.44</v>
      </c>
      <c r="E6" s="125">
        <v>40</v>
      </c>
      <c r="F6" s="127">
        <v>33.299999999999997</v>
      </c>
      <c r="G6" s="123">
        <v>72.62</v>
      </c>
      <c r="H6" s="133">
        <v>84.093999999999994</v>
      </c>
      <c r="I6" s="242"/>
      <c r="J6" s="243"/>
      <c r="K6" s="133">
        <f>H6+I4+J4</f>
        <v>84.195999999999998</v>
      </c>
      <c r="L6" s="138">
        <f t="shared" si="0"/>
        <v>3.3</v>
      </c>
      <c r="M6" s="79">
        <f t="shared" si="1"/>
        <v>1.5803662258392672</v>
      </c>
      <c r="N6" s="102">
        <f t="shared" si="2"/>
        <v>5.215208545269582</v>
      </c>
      <c r="O6" s="103">
        <f>'генер. спирт. пара'!M15</f>
        <v>1158.9248415791474</v>
      </c>
    </row>
    <row r="7" spans="1:15" ht="15" thickBot="1" x14ac:dyDescent="0.35">
      <c r="A7" s="257"/>
      <c r="B7" s="258"/>
      <c r="C7" s="79">
        <f>A4</f>
        <v>97</v>
      </c>
      <c r="D7" s="79">
        <f>B4</f>
        <v>95.44</v>
      </c>
      <c r="E7" s="126">
        <v>35</v>
      </c>
      <c r="F7" s="128">
        <v>28.9</v>
      </c>
      <c r="G7" s="122">
        <v>70.75</v>
      </c>
      <c r="H7" s="132">
        <v>84.819000000000003</v>
      </c>
      <c r="I7" s="242"/>
      <c r="J7" s="243"/>
      <c r="K7" s="132">
        <f>H7+I4+J4</f>
        <v>84.921000000000006</v>
      </c>
      <c r="L7" s="138">
        <f t="shared" si="0"/>
        <v>3.3</v>
      </c>
      <c r="M7" s="79">
        <f t="shared" si="1"/>
        <v>1.589964157706093</v>
      </c>
      <c r="N7" s="102">
        <f t="shared" si="2"/>
        <v>5.2468817204301068</v>
      </c>
      <c r="O7" s="103">
        <f>'генер. спирт. пара'!M16</f>
        <v>1122.6106030581543</v>
      </c>
    </row>
    <row r="8" spans="1:15" ht="15" thickBot="1" x14ac:dyDescent="0.35">
      <c r="A8" s="257"/>
      <c r="B8" s="258"/>
      <c r="C8" s="79">
        <f>A4</f>
        <v>97</v>
      </c>
      <c r="D8" s="79">
        <f>B4</f>
        <v>95.44</v>
      </c>
      <c r="E8" s="125">
        <v>30</v>
      </c>
      <c r="F8" s="127">
        <v>24.62</v>
      </c>
      <c r="G8" s="123">
        <v>68.37</v>
      </c>
      <c r="H8" s="133">
        <v>85.795000000000002</v>
      </c>
      <c r="I8" s="242"/>
      <c r="J8" s="243"/>
      <c r="K8" s="133">
        <f>H8+I4+J4</f>
        <v>85.897000000000006</v>
      </c>
      <c r="L8" s="138">
        <f t="shared" si="0"/>
        <v>3.3</v>
      </c>
      <c r="M8" s="79">
        <f t="shared" si="1"/>
        <v>1.618742857142857</v>
      </c>
      <c r="N8" s="102">
        <f t="shared" si="2"/>
        <v>5.3418514285714283</v>
      </c>
      <c r="O8" s="103">
        <f>'генер. спирт. пара'!M17</f>
        <v>1068.2095082629689</v>
      </c>
    </row>
    <row r="9" spans="1:15" ht="15" thickBot="1" x14ac:dyDescent="0.35">
      <c r="A9" s="257"/>
      <c r="B9" s="258"/>
      <c r="C9" s="79">
        <f>A4</f>
        <v>97</v>
      </c>
      <c r="D9" s="79">
        <f>B4</f>
        <v>95.44</v>
      </c>
      <c r="E9" s="126">
        <v>25</v>
      </c>
      <c r="F9" s="128">
        <v>20.38</v>
      </c>
      <c r="G9" s="122">
        <v>65.3</v>
      </c>
      <c r="H9" s="132">
        <v>86.884</v>
      </c>
      <c r="I9" s="242"/>
      <c r="J9" s="243"/>
      <c r="K9" s="132">
        <f>H9+I4+J4</f>
        <v>86.986000000000004</v>
      </c>
      <c r="L9" s="138">
        <f t="shared" si="0"/>
        <v>3.3</v>
      </c>
      <c r="M9" s="79">
        <f t="shared" si="1"/>
        <v>1.6709706144256455</v>
      </c>
      <c r="N9" s="102">
        <f t="shared" si="2"/>
        <v>5.5142030276046299</v>
      </c>
      <c r="O9" s="103">
        <f>'генер. спирт. пара'!M18</f>
        <v>994.94778335712567</v>
      </c>
    </row>
    <row r="10" spans="1:15" ht="15" thickBot="1" x14ac:dyDescent="0.35">
      <c r="A10" s="257"/>
      <c r="B10" s="258"/>
      <c r="C10" s="79">
        <f>A4</f>
        <v>97</v>
      </c>
      <c r="D10" s="79">
        <f>B4</f>
        <v>95.44</v>
      </c>
      <c r="E10" s="125">
        <v>20</v>
      </c>
      <c r="F10" s="127">
        <v>16.21</v>
      </c>
      <c r="G10" s="123">
        <v>61.33</v>
      </c>
      <c r="H10" s="133">
        <v>88.215999999999994</v>
      </c>
      <c r="I10" s="242"/>
      <c r="J10" s="243"/>
      <c r="K10" s="133">
        <f>H10+I4+J4</f>
        <v>88.317999999999998</v>
      </c>
      <c r="L10" s="138">
        <f t="shared" si="0"/>
        <v>3.3</v>
      </c>
      <c r="M10" s="79">
        <f t="shared" si="1"/>
        <v>1.7559840425531914</v>
      </c>
      <c r="N10" s="102">
        <f t="shared" si="2"/>
        <v>5.7947473404255314</v>
      </c>
      <c r="O10" s="103">
        <f>'генер. спирт. пара'!M19</f>
        <v>900.95543207643345</v>
      </c>
    </row>
    <row r="11" spans="1:15" ht="15" thickBot="1" x14ac:dyDescent="0.35">
      <c r="A11" s="257"/>
      <c r="B11" s="258"/>
      <c r="C11" s="79">
        <f>A4</f>
        <v>97</v>
      </c>
      <c r="D11" s="79">
        <f>B4</f>
        <v>95.44</v>
      </c>
      <c r="E11" s="126">
        <v>15</v>
      </c>
      <c r="F11" s="128">
        <v>12.1</v>
      </c>
      <c r="G11" s="122">
        <v>55.95</v>
      </c>
      <c r="H11" s="132">
        <v>90.421999999999997</v>
      </c>
      <c r="I11" s="242"/>
      <c r="J11" s="243"/>
      <c r="K11" s="132">
        <f>H11+I4+J4</f>
        <v>90.524000000000001</v>
      </c>
      <c r="L11" s="138">
        <f t="shared" si="0"/>
        <v>3.3</v>
      </c>
      <c r="M11" s="79">
        <f t="shared" si="1"/>
        <v>1.9005701254275942</v>
      </c>
      <c r="N11" s="102">
        <f t="shared" si="2"/>
        <v>6.2718814139110606</v>
      </c>
      <c r="O11" s="103">
        <f>'генер. спирт. пара'!M20</f>
        <v>779.22018925516886</v>
      </c>
    </row>
    <row r="12" spans="1:15" ht="15" thickBot="1" x14ac:dyDescent="0.35">
      <c r="A12" s="257"/>
      <c r="B12" s="258"/>
      <c r="C12" s="79">
        <f>A4</f>
        <v>97</v>
      </c>
      <c r="D12" s="79">
        <f>B4</f>
        <v>95.44</v>
      </c>
      <c r="E12" s="125">
        <v>10</v>
      </c>
      <c r="F12" s="127">
        <v>8.01</v>
      </c>
      <c r="G12" s="123">
        <v>47.63</v>
      </c>
      <c r="H12" s="133">
        <v>92.588999999999999</v>
      </c>
      <c r="I12" s="242"/>
      <c r="J12" s="243"/>
      <c r="K12" s="133">
        <f>H12+I4+J4</f>
        <v>92.691000000000003</v>
      </c>
      <c r="L12" s="138">
        <f t="shared" si="0"/>
        <v>3.3</v>
      </c>
      <c r="M12" s="79">
        <f t="shared" si="1"/>
        <v>2.2067137809187276</v>
      </c>
      <c r="N12" s="102">
        <f t="shared" si="2"/>
        <v>7.2821554770318011</v>
      </c>
      <c r="O12" s="103">
        <f>'генер. спирт. пара'!M21</f>
        <v>608.84361397374505</v>
      </c>
    </row>
    <row r="13" spans="1:15" ht="15" thickBot="1" x14ac:dyDescent="0.35">
      <c r="A13" s="257"/>
      <c r="B13" s="258"/>
      <c r="C13" s="79">
        <f>A4</f>
        <v>97</v>
      </c>
      <c r="D13" s="79">
        <f>B4</f>
        <v>95.44</v>
      </c>
      <c r="E13" s="126">
        <v>5</v>
      </c>
      <c r="F13" s="128">
        <v>3.98</v>
      </c>
      <c r="G13" s="122">
        <v>33.18</v>
      </c>
      <c r="H13" s="132">
        <v>95.816000000000003</v>
      </c>
      <c r="I13" s="242"/>
      <c r="J13" s="243"/>
      <c r="K13" s="132">
        <f>H13+I4+J4</f>
        <v>95.918000000000006</v>
      </c>
      <c r="L13" s="138">
        <f t="shared" si="0"/>
        <v>3.3</v>
      </c>
      <c r="M13" s="79">
        <f t="shared" si="1"/>
        <v>3.1321917808219175</v>
      </c>
      <c r="N13" s="102">
        <f t="shared" si="2"/>
        <v>10.336232876712327</v>
      </c>
      <c r="O13" s="103">
        <f>'генер. спирт. пара'!M22</f>
        <v>363.76755371662966</v>
      </c>
    </row>
    <row r="14" spans="1:15" ht="15" thickBot="1" x14ac:dyDescent="0.35">
      <c r="A14" s="257"/>
      <c r="B14" s="258"/>
      <c r="C14" s="79">
        <f>A4</f>
        <v>97</v>
      </c>
      <c r="D14" s="79">
        <f>B4</f>
        <v>95.44</v>
      </c>
      <c r="E14" s="125">
        <v>1</v>
      </c>
      <c r="F14" s="127">
        <v>0.79</v>
      </c>
      <c r="G14" s="124">
        <v>8.94</v>
      </c>
      <c r="H14" s="134">
        <v>99.006</v>
      </c>
      <c r="I14" s="244"/>
      <c r="J14" s="245"/>
      <c r="K14" s="134">
        <f>H14+I4+J4</f>
        <v>99.108000000000004</v>
      </c>
      <c r="L14" s="139">
        <f t="shared" si="0"/>
        <v>3.3</v>
      </c>
      <c r="M14" s="79">
        <f t="shared" si="1"/>
        <v>11.613496932515339</v>
      </c>
      <c r="N14" s="102">
        <f t="shared" si="2"/>
        <v>38.324539877300616</v>
      </c>
      <c r="O14" s="103">
        <f>'генер. спирт. пара'!M23</f>
        <v>77.328875146059104</v>
      </c>
    </row>
    <row r="15" spans="1:15" ht="18" x14ac:dyDescent="0.35">
      <c r="A15" s="153" t="s">
        <v>69</v>
      </c>
      <c r="J15" s="154" t="s">
        <v>68</v>
      </c>
    </row>
    <row r="16" spans="1:15" x14ac:dyDescent="0.3">
      <c r="A16" s="155"/>
      <c r="B16" s="109"/>
      <c r="C16" s="108"/>
      <c r="D16" s="108"/>
      <c r="E16" s="111"/>
      <c r="F16" s="111"/>
      <c r="G16" s="111"/>
      <c r="H16" s="112"/>
      <c r="I16" s="110"/>
      <c r="J16" s="113"/>
      <c r="K16" s="113"/>
      <c r="L16" s="113"/>
      <c r="M16" s="113"/>
      <c r="N16" s="111"/>
      <c r="O16" s="111"/>
    </row>
    <row r="17" spans="1:17" x14ac:dyDescent="0.3">
      <c r="A17" s="155" t="s">
        <v>70</v>
      </c>
      <c r="B17" s="109"/>
      <c r="C17" s="108"/>
      <c r="D17" s="108"/>
      <c r="E17" s="111"/>
      <c r="F17" s="111"/>
      <c r="G17" s="111"/>
      <c r="H17" s="112"/>
      <c r="I17" s="110"/>
      <c r="J17" s="113"/>
      <c r="K17" s="113"/>
      <c r="L17" s="113"/>
      <c r="M17" s="113"/>
      <c r="N17" s="111"/>
      <c r="O17" s="111"/>
    </row>
    <row r="18" spans="1:17" x14ac:dyDescent="0.3">
      <c r="A18" s="155" t="s">
        <v>71</v>
      </c>
      <c r="B18" s="146" t="s">
        <v>64</v>
      </c>
      <c r="C18" s="108"/>
      <c r="D18" s="108"/>
      <c r="E18" s="111"/>
      <c r="F18" s="111"/>
      <c r="G18" s="111"/>
      <c r="H18" s="112"/>
      <c r="I18" s="112"/>
      <c r="J18" s="113"/>
      <c r="K18" s="113"/>
      <c r="L18" s="113"/>
      <c r="M18" s="113"/>
      <c r="N18" s="111"/>
      <c r="O18" s="111"/>
    </row>
    <row r="19" spans="1:17" x14ac:dyDescent="0.3">
      <c r="A19" s="155" t="s">
        <v>72</v>
      </c>
      <c r="B19" s="146" t="s">
        <v>66</v>
      </c>
      <c r="C19" s="108"/>
      <c r="D19" s="108"/>
      <c r="E19" s="111"/>
      <c r="F19" s="111"/>
      <c r="G19" s="111"/>
      <c r="H19" s="112"/>
      <c r="I19" s="110"/>
      <c r="J19" s="113"/>
      <c r="K19" s="113"/>
      <c r="L19" s="113"/>
      <c r="M19" s="113"/>
      <c r="N19" s="111"/>
      <c r="O19" s="111"/>
    </row>
    <row r="20" spans="1:17" x14ac:dyDescent="0.3">
      <c r="A20" s="155" t="s">
        <v>73</v>
      </c>
      <c r="B20" s="120"/>
      <c r="C20" s="110"/>
      <c r="D20" s="110"/>
      <c r="E20" s="108"/>
      <c r="F20" s="108"/>
      <c r="G20" s="108"/>
      <c r="H20" s="111"/>
      <c r="I20" s="111"/>
      <c r="J20" s="112"/>
      <c r="K20" s="112"/>
      <c r="L20" s="113"/>
      <c r="M20" s="113"/>
      <c r="N20" s="111"/>
      <c r="O20" s="111"/>
    </row>
    <row r="21" spans="1:17" ht="16.5" customHeight="1" x14ac:dyDescent="0.3">
      <c r="A21" s="156" t="s">
        <v>74</v>
      </c>
      <c r="B21" s="111"/>
      <c r="C21" s="110"/>
      <c r="D21" s="110"/>
      <c r="E21" s="110"/>
      <c r="F21" s="110"/>
      <c r="G21" s="110"/>
      <c r="H21" s="108"/>
      <c r="I21" s="111"/>
      <c r="J21" s="111"/>
      <c r="K21" s="111"/>
      <c r="L21" s="110"/>
      <c r="M21" s="113"/>
      <c r="N21" s="111"/>
      <c r="O21" s="111"/>
    </row>
    <row r="22" spans="1:17" x14ac:dyDescent="0.3">
      <c r="A22" s="155" t="s">
        <v>75</v>
      </c>
      <c r="B22" s="115"/>
      <c r="C22" s="110"/>
      <c r="D22" s="110"/>
      <c r="E22" s="108"/>
      <c r="F22" s="108"/>
      <c r="G22" s="108"/>
      <c r="H22" s="111"/>
      <c r="I22" s="111"/>
      <c r="J22" s="112"/>
      <c r="K22" s="112"/>
      <c r="L22" s="113"/>
      <c r="M22" s="113"/>
      <c r="N22" s="111"/>
      <c r="O22" s="111"/>
      <c r="P22" s="82"/>
      <c r="Q22" s="83"/>
    </row>
    <row r="23" spans="1:17" ht="14.25" customHeight="1" x14ac:dyDescent="0.3">
      <c r="A23" s="114"/>
      <c r="B23" s="109"/>
      <c r="C23" s="110"/>
      <c r="D23" s="110"/>
      <c r="E23" s="108"/>
      <c r="F23" s="108"/>
      <c r="G23" s="108"/>
      <c r="H23" s="111"/>
      <c r="I23" s="111"/>
      <c r="J23" s="112"/>
      <c r="K23" s="112"/>
      <c r="L23" s="113"/>
      <c r="M23" s="113"/>
      <c r="N23" s="111"/>
      <c r="O23" s="111"/>
      <c r="P23" s="84"/>
      <c r="Q23" s="85"/>
    </row>
    <row r="24" spans="1:17" ht="15.6" x14ac:dyDescent="0.3">
      <c r="A24" s="114"/>
      <c r="B24" s="116"/>
      <c r="C24" s="110"/>
      <c r="D24" s="110"/>
      <c r="E24" s="108"/>
      <c r="F24" s="108"/>
      <c r="G24" s="108"/>
      <c r="H24" s="111"/>
      <c r="I24" s="111"/>
      <c r="J24" s="112"/>
      <c r="K24" s="112"/>
      <c r="L24" s="113"/>
      <c r="M24" s="113"/>
      <c r="N24" s="111"/>
      <c r="O24" s="111"/>
    </row>
    <row r="25" spans="1:17" x14ac:dyDescent="0.3">
      <c r="A25" s="111"/>
      <c r="B25" s="111"/>
      <c r="C25" s="110"/>
      <c r="D25" s="110"/>
      <c r="E25" s="110"/>
      <c r="F25" s="110"/>
      <c r="G25" s="110"/>
      <c r="H25" s="108"/>
      <c r="I25" s="111"/>
      <c r="J25" s="111"/>
      <c r="K25" s="111"/>
      <c r="L25" s="110"/>
      <c r="M25" s="113"/>
      <c r="N25" s="111"/>
      <c r="O25" s="111"/>
    </row>
    <row r="26" spans="1:17" x14ac:dyDescent="0.3">
      <c r="A26"/>
      <c r="B26" s="86"/>
      <c r="E26" s="81"/>
      <c r="F26" s="81"/>
      <c r="G26" s="81"/>
      <c r="H26"/>
      <c r="J26" s="84"/>
      <c r="K26" s="84"/>
      <c r="L26" s="85"/>
      <c r="N26"/>
    </row>
    <row r="27" spans="1:17" x14ac:dyDescent="0.3">
      <c r="A27" s="6"/>
      <c r="B27" s="6"/>
      <c r="C27" s="81"/>
      <c r="D27" s="81"/>
      <c r="E27"/>
      <c r="F27"/>
      <c r="G27"/>
      <c r="H27" s="84"/>
      <c r="I27" s="6"/>
      <c r="J27" s="85"/>
      <c r="K27" s="85"/>
      <c r="L27"/>
      <c r="M27"/>
      <c r="N27"/>
    </row>
    <row r="28" spans="1:17" x14ac:dyDescent="0.3">
      <c r="A28" s="6"/>
      <c r="B28" s="6"/>
      <c r="C28" s="81"/>
      <c r="D28" s="81"/>
      <c r="E28"/>
      <c r="F28"/>
      <c r="G28"/>
      <c r="H28" s="84"/>
      <c r="I28" s="6"/>
      <c r="J28" s="85"/>
      <c r="K28" s="85"/>
      <c r="L28"/>
      <c r="M28"/>
      <c r="N28"/>
    </row>
    <row r="29" spans="1:17" x14ac:dyDescent="0.3">
      <c r="A29"/>
      <c r="B29" s="6"/>
      <c r="E29" s="81"/>
      <c r="F29" s="81"/>
      <c r="G29" s="81"/>
      <c r="H29"/>
      <c r="J29" s="84"/>
      <c r="K29" s="84"/>
      <c r="L29" s="85"/>
      <c r="N29"/>
    </row>
    <row r="30" spans="1:17" x14ac:dyDescent="0.3">
      <c r="A30" s="6"/>
      <c r="B30" s="6"/>
      <c r="E30" s="81"/>
      <c r="F30" s="81"/>
      <c r="G30" s="81"/>
      <c r="H30"/>
      <c r="I30" s="84"/>
      <c r="J30" s="85"/>
      <c r="K30" s="85"/>
      <c r="L30"/>
      <c r="M30"/>
      <c r="N30"/>
    </row>
    <row r="31" spans="1:17" x14ac:dyDescent="0.3">
      <c r="A31" s="87"/>
      <c r="B31" s="6"/>
      <c r="C31" s="81"/>
      <c r="D31" s="81"/>
      <c r="E31"/>
      <c r="F31"/>
      <c r="G31"/>
      <c r="H31" s="84"/>
      <c r="I31" s="6"/>
      <c r="J31" s="85"/>
      <c r="K31" s="85"/>
      <c r="L31"/>
      <c r="M31"/>
      <c r="N31"/>
    </row>
    <row r="32" spans="1:17" x14ac:dyDescent="0.3">
      <c r="A32" s="6"/>
      <c r="B32" s="6"/>
      <c r="C32" s="81"/>
      <c r="D32" s="81"/>
      <c r="E32"/>
      <c r="F32"/>
      <c r="G32"/>
      <c r="H32" s="84"/>
      <c r="I32" s="6"/>
      <c r="J32" s="85"/>
      <c r="K32" s="85"/>
      <c r="L32" s="85"/>
      <c r="N32"/>
    </row>
    <row r="33" spans="1:14" x14ac:dyDescent="0.3">
      <c r="A33"/>
      <c r="B33" s="6"/>
      <c r="E33" s="81"/>
      <c r="F33" s="81"/>
      <c r="G33" s="81"/>
      <c r="H33"/>
      <c r="J33" s="84"/>
      <c r="K33" s="84"/>
      <c r="L33" s="85"/>
      <c r="N33"/>
    </row>
    <row r="34" spans="1:14" x14ac:dyDescent="0.3">
      <c r="A34"/>
      <c r="B34" s="6"/>
      <c r="E34" s="81"/>
      <c r="F34" s="81"/>
      <c r="G34" s="81"/>
      <c r="H34"/>
      <c r="J34" s="84"/>
      <c r="K34" s="84"/>
      <c r="L34" s="85"/>
      <c r="N34"/>
    </row>
    <row r="35" spans="1:14" x14ac:dyDescent="0.3">
      <c r="A35"/>
      <c r="B35" s="6"/>
      <c r="E35" s="81"/>
      <c r="F35" s="81"/>
      <c r="G35" s="81"/>
      <c r="H35"/>
      <c r="J35" s="84"/>
      <c r="K35" s="84"/>
      <c r="L35" s="85"/>
      <c r="N35"/>
    </row>
    <row r="36" spans="1:14" x14ac:dyDescent="0.3">
      <c r="A36"/>
      <c r="B36" s="6"/>
      <c r="E36" s="81"/>
      <c r="F36" s="81"/>
      <c r="G36" s="81"/>
      <c r="H36"/>
      <c r="J36" s="84"/>
      <c r="K36" s="84"/>
      <c r="L36" s="85"/>
      <c r="N36"/>
    </row>
    <row r="37" spans="1:14" x14ac:dyDescent="0.3">
      <c r="A37"/>
      <c r="B37" s="6"/>
      <c r="E37" s="81"/>
      <c r="F37" s="81"/>
      <c r="G37" s="81"/>
      <c r="H37"/>
      <c r="J37" s="84"/>
      <c r="K37" s="84"/>
      <c r="L37" s="85"/>
      <c r="N37"/>
    </row>
  </sheetData>
  <mergeCells count="18">
    <mergeCell ref="E2:E3"/>
    <mergeCell ref="F2:F3"/>
    <mergeCell ref="A5:B14"/>
    <mergeCell ref="M2:M3"/>
    <mergeCell ref="N1:N3"/>
    <mergeCell ref="A1:B1"/>
    <mergeCell ref="C1:D1"/>
    <mergeCell ref="E1:F1"/>
    <mergeCell ref="A2:A3"/>
    <mergeCell ref="B2:B3"/>
    <mergeCell ref="C2:C3"/>
    <mergeCell ref="D2:D3"/>
    <mergeCell ref="O1:O3"/>
    <mergeCell ref="I5:J14"/>
    <mergeCell ref="G2:G3"/>
    <mergeCell ref="H2:H3"/>
    <mergeCell ref="K2:K3"/>
    <mergeCell ref="L2:L3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реал. мощ.</vt:lpstr>
      <vt:lpstr>генер. спирт. пара</vt:lpstr>
      <vt:lpstr>расчёт ФЧ по Т куба</vt:lpstr>
      <vt:lpstr>График отбора</vt:lpstr>
      <vt:lpstr>вольт</vt:lpstr>
      <vt:lpstr>кВт</vt:lpstr>
      <vt:lpstr>Мощ.тэна</vt:lpstr>
      <vt:lpstr>Ом</vt:lpstr>
      <vt:lpstr>Реал_Мощность</vt:lpstr>
      <vt:lpstr>шаг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dcterms:created xsi:type="dcterms:W3CDTF">2012-02-21T21:36:12Z</dcterms:created>
  <dcterms:modified xsi:type="dcterms:W3CDTF">2025-01-27T11:44:38Z</dcterms:modified>
</cp:coreProperties>
</file>