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20115" windowHeight="8505" firstSheet="1" activeTab="2"/>
  </bookViews>
  <sheets>
    <sheet name="генер. спирт. пара" sheetId="1" state="hidden" r:id="rId1"/>
    <sheet name="Методика АлексеяТ" sheetId="2" r:id="rId2"/>
    <sheet name="Количество переиспарений" sheetId="3" r:id="rId3"/>
  </sheets>
  <externalReferences>
    <externalReference r:id="rId4"/>
  </externalReferences>
  <definedNames>
    <definedName name="вольт">'[1]реал. мощ.'!$E$2</definedName>
    <definedName name="градус">'[1]нагрев и испар. воды'!$B$3</definedName>
    <definedName name="литр">'[1]нагрев и испар. воды'!$A$3</definedName>
    <definedName name="Мощ.тэна">'[1]реал. мощ.'!$A$2</definedName>
    <definedName name="Мощность1">[1]Подключения!$C$25</definedName>
    <definedName name="Мощность2">[1]Подключения!$C$26</definedName>
    <definedName name="мОЩНОСТЬ3">[1]Подключения!$C$27</definedName>
    <definedName name="Мощность4">[1]Подключения!$C$28</definedName>
    <definedName name="напряжение">#REF!</definedName>
    <definedName name="напряжение1">#REF!</definedName>
    <definedName name="напряжение2">#REF!</definedName>
    <definedName name="напряжение3">#REF!</definedName>
    <definedName name="Ом">'[1]реал. мощ.'!$G$2</definedName>
    <definedName name="Ом1">[1]Подключения!$H$8</definedName>
    <definedName name="Ом2">[1]Подключения!$H$9</definedName>
    <definedName name="Ом3">[1]Подключения!$H$10</definedName>
    <definedName name="Ом4">[1]Подключения!$H$11</definedName>
    <definedName name="Реал_Мощность">'[1]реал. мощ.'!$O$4</definedName>
    <definedName name="сек">'[1]0пред. скорости отбора'!$C$3</definedName>
    <definedName name="шаг">'[1]реал. мощ.'!$C$2</definedName>
    <definedName name="шаг.литр">'[1]нагрев и испар. воды'!$C$3</definedName>
    <definedName name="шаг.темп.">'[1]нагрев и испар. воды'!$D$3</definedName>
  </definedNames>
  <calcPr calcId="125725"/>
</workbook>
</file>

<file path=xl/calcChain.xml><?xml version="1.0" encoding="utf-8"?>
<calcChain xmlns="http://schemas.openxmlformats.org/spreadsheetml/2006/main">
  <c r="C12" i="3"/>
  <c r="C15" i="2"/>
  <c r="B39" i="1"/>
  <c r="F39" s="1"/>
  <c r="A39"/>
  <c r="C14" i="2"/>
  <c r="C18" s="1"/>
  <c r="B41" i="1"/>
  <c r="F41"/>
  <c r="G41" s="1"/>
  <c r="A41"/>
  <c r="E46"/>
  <c r="H37"/>
  <c r="F37"/>
  <c r="G37" s="1"/>
  <c r="E37"/>
  <c r="D37"/>
  <c r="C37"/>
  <c r="A37"/>
  <c r="I37" s="1"/>
  <c r="K37" s="1"/>
  <c r="G36"/>
  <c r="F36"/>
  <c r="Y36" s="1"/>
  <c r="E36"/>
  <c r="C36"/>
  <c r="D36" s="1"/>
  <c r="A36"/>
  <c r="F35"/>
  <c r="G35" s="1"/>
  <c r="H35" s="1"/>
  <c r="E35"/>
  <c r="D35"/>
  <c r="C35"/>
  <c r="A35"/>
  <c r="I35" s="1"/>
  <c r="G34"/>
  <c r="H34" s="1"/>
  <c r="F34"/>
  <c r="Y34" s="1"/>
  <c r="E34"/>
  <c r="C34"/>
  <c r="D34" s="1"/>
  <c r="A34"/>
  <c r="I34" s="1"/>
  <c r="H33"/>
  <c r="F33"/>
  <c r="G33" s="1"/>
  <c r="E33"/>
  <c r="D33"/>
  <c r="C33"/>
  <c r="A33"/>
  <c r="I33" s="1"/>
  <c r="K33" s="1"/>
  <c r="G32"/>
  <c r="F32"/>
  <c r="Y32" s="1"/>
  <c r="E32"/>
  <c r="C32"/>
  <c r="D32" s="1"/>
  <c r="A32"/>
  <c r="Y31"/>
  <c r="F31"/>
  <c r="G31" s="1"/>
  <c r="H31" s="1"/>
  <c r="E31"/>
  <c r="D31"/>
  <c r="C31"/>
  <c r="A31"/>
  <c r="I31" s="1"/>
  <c r="J31" s="1"/>
  <c r="G30"/>
  <c r="H30" s="1"/>
  <c r="F30"/>
  <c r="Y30" s="1"/>
  <c r="E30"/>
  <c r="C30"/>
  <c r="D30" s="1"/>
  <c r="A30"/>
  <c r="I30" s="1"/>
  <c r="H29"/>
  <c r="F29"/>
  <c r="G29" s="1"/>
  <c r="E29"/>
  <c r="D29"/>
  <c r="C29"/>
  <c r="A29"/>
  <c r="I29" s="1"/>
  <c r="K29" s="1"/>
  <c r="G28"/>
  <c r="F28"/>
  <c r="Y28" s="1"/>
  <c r="E28"/>
  <c r="C28"/>
  <c r="D28" s="1"/>
  <c r="A28"/>
  <c r="F27"/>
  <c r="G27" s="1"/>
  <c r="H27" s="1"/>
  <c r="E27"/>
  <c r="D27"/>
  <c r="C27"/>
  <c r="A27"/>
  <c r="I27" s="1"/>
  <c r="U26"/>
  <c r="T26"/>
  <c r="G26"/>
  <c r="F26"/>
  <c r="Y26" s="1"/>
  <c r="E26"/>
  <c r="S26" s="1"/>
  <c r="C26"/>
  <c r="D26" s="1"/>
  <c r="A26"/>
  <c r="Y25"/>
  <c r="U25"/>
  <c r="T25"/>
  <c r="H25"/>
  <c r="F25"/>
  <c r="G25" s="1"/>
  <c r="E25"/>
  <c r="S25" s="1"/>
  <c r="D25"/>
  <c r="C25"/>
  <c r="A25"/>
  <c r="I25" s="1"/>
  <c r="K25" s="1"/>
  <c r="U24"/>
  <c r="T24"/>
  <c r="S24"/>
  <c r="G24"/>
  <c r="H24" s="1"/>
  <c r="F24"/>
  <c r="Y24" s="1"/>
  <c r="E24"/>
  <c r="C24"/>
  <c r="D24" s="1"/>
  <c r="A24"/>
  <c r="I24" s="1"/>
  <c r="U23"/>
  <c r="T23"/>
  <c r="F23"/>
  <c r="E23"/>
  <c r="S23" s="1"/>
  <c r="D23"/>
  <c r="C23"/>
  <c r="A23"/>
  <c r="U22"/>
  <c r="T22"/>
  <c r="G22"/>
  <c r="F22"/>
  <c r="Y22" s="1"/>
  <c r="E22"/>
  <c r="S22" s="1"/>
  <c r="C22"/>
  <c r="D22" s="1"/>
  <c r="A22"/>
  <c r="Y21"/>
  <c r="U21"/>
  <c r="T21"/>
  <c r="H21"/>
  <c r="F21"/>
  <c r="G21" s="1"/>
  <c r="E21"/>
  <c r="S21" s="1"/>
  <c r="D21"/>
  <c r="C21"/>
  <c r="A21"/>
  <c r="I21" s="1"/>
  <c r="K21" s="1"/>
  <c r="U20"/>
  <c r="T20"/>
  <c r="S20"/>
  <c r="I20"/>
  <c r="G20"/>
  <c r="H20" s="1"/>
  <c r="F20"/>
  <c r="Y20" s="1"/>
  <c r="E20"/>
  <c r="C20"/>
  <c r="D20" s="1"/>
  <c r="A20"/>
  <c r="U19"/>
  <c r="T19"/>
  <c r="F19"/>
  <c r="E19"/>
  <c r="S19" s="1"/>
  <c r="D19"/>
  <c r="C19"/>
  <c r="A19"/>
  <c r="U18"/>
  <c r="T18"/>
  <c r="F18"/>
  <c r="E18"/>
  <c r="S18" s="1"/>
  <c r="D18"/>
  <c r="C18"/>
  <c r="A18"/>
  <c r="U17"/>
  <c r="T17"/>
  <c r="G17"/>
  <c r="H17" s="1"/>
  <c r="F17"/>
  <c r="Y17" s="1"/>
  <c r="E17"/>
  <c r="S17" s="1"/>
  <c r="C17"/>
  <c r="D17" s="1"/>
  <c r="A17"/>
  <c r="Y16"/>
  <c r="U16"/>
  <c r="T16"/>
  <c r="H16"/>
  <c r="F16"/>
  <c r="G16" s="1"/>
  <c r="E16"/>
  <c r="S16" s="1"/>
  <c r="D16"/>
  <c r="C16"/>
  <c r="A16"/>
  <c r="I16" s="1"/>
  <c r="K16" s="1"/>
  <c r="U15"/>
  <c r="T15"/>
  <c r="S15"/>
  <c r="I15"/>
  <c r="G15"/>
  <c r="H15" s="1"/>
  <c r="F15"/>
  <c r="Y15" s="1"/>
  <c r="E15"/>
  <c r="C15"/>
  <c r="D15" s="1"/>
  <c r="A15"/>
  <c r="U14"/>
  <c r="T14"/>
  <c r="F14"/>
  <c r="G14" s="1"/>
  <c r="H14" s="1"/>
  <c r="E14"/>
  <c r="S14" s="1"/>
  <c r="D14"/>
  <c r="C14"/>
  <c r="A14"/>
  <c r="I14" s="1"/>
  <c r="K14" s="1"/>
  <c r="U13"/>
  <c r="T13"/>
  <c r="G13"/>
  <c r="H13" s="1"/>
  <c r="F13"/>
  <c r="Y13" s="1"/>
  <c r="E13"/>
  <c r="S13" s="1"/>
  <c r="C13"/>
  <c r="D13" s="1"/>
  <c r="A13"/>
  <c r="Y12"/>
  <c r="U12"/>
  <c r="T12"/>
  <c r="H12"/>
  <c r="F12"/>
  <c r="G12" s="1"/>
  <c r="I12" s="1"/>
  <c r="K12" s="1"/>
  <c r="E12"/>
  <c r="S12" s="1"/>
  <c r="D12"/>
  <c r="C12"/>
  <c r="Y11"/>
  <c r="U11"/>
  <c r="T11"/>
  <c r="H11"/>
  <c r="F11"/>
  <c r="G11" s="1"/>
  <c r="E11"/>
  <c r="S11" s="1"/>
  <c r="D11"/>
  <c r="C11"/>
  <c r="A11"/>
  <c r="I11" s="1"/>
  <c r="K11" s="1"/>
  <c r="U10"/>
  <c r="T10"/>
  <c r="S10"/>
  <c r="I10"/>
  <c r="G10"/>
  <c r="H10" s="1"/>
  <c r="F10"/>
  <c r="Y10" s="1"/>
  <c r="E10"/>
  <c r="C10"/>
  <c r="D10" s="1"/>
  <c r="A10"/>
  <c r="U9"/>
  <c r="T9"/>
  <c r="F9"/>
  <c r="G9" s="1"/>
  <c r="H9" s="1"/>
  <c r="E9"/>
  <c r="S9" s="1"/>
  <c r="D9"/>
  <c r="C9"/>
  <c r="A9"/>
  <c r="I9" s="1"/>
  <c r="K9" s="1"/>
  <c r="U8"/>
  <c r="T8"/>
  <c r="G8"/>
  <c r="H8" s="1"/>
  <c r="F8"/>
  <c r="Y8" s="1"/>
  <c r="E8"/>
  <c r="S8" s="1"/>
  <c r="C8"/>
  <c r="D8" s="1"/>
  <c r="A8"/>
  <c r="U7"/>
  <c r="T7"/>
  <c r="F7"/>
  <c r="G7" s="1"/>
  <c r="H7" s="1"/>
  <c r="E7"/>
  <c r="S7" s="1"/>
  <c r="D7"/>
  <c r="C7"/>
  <c r="A7"/>
  <c r="U6"/>
  <c r="T6"/>
  <c r="G6"/>
  <c r="H6" s="1"/>
  <c r="F6"/>
  <c r="Y6" s="1"/>
  <c r="E6"/>
  <c r="S6" s="1"/>
  <c r="C6"/>
  <c r="D6" s="1"/>
  <c r="AF5"/>
  <c r="X5"/>
  <c r="U5"/>
  <c r="T5"/>
  <c r="G5"/>
  <c r="H5" s="1"/>
  <c r="F5"/>
  <c r="Y5" s="1"/>
  <c r="E5"/>
  <c r="S5" s="1"/>
  <c r="C5"/>
  <c r="D5" s="1"/>
  <c r="U4"/>
  <c r="T4"/>
  <c r="S4"/>
  <c r="G4"/>
  <c r="H4" s="1"/>
  <c r="E4"/>
  <c r="D4"/>
  <c r="C4"/>
  <c r="A4"/>
  <c r="I4" s="1"/>
  <c r="Z3"/>
  <c r="E39" l="1"/>
  <c r="Y39"/>
  <c r="G39"/>
  <c r="H39" s="1"/>
  <c r="C39"/>
  <c r="D39" s="1"/>
  <c r="I39"/>
  <c r="U1"/>
  <c r="C16" i="3"/>
  <c r="C18" s="1"/>
  <c r="B43" i="1"/>
  <c r="C46" s="1"/>
  <c r="C50" s="1"/>
  <c r="L11"/>
  <c r="M11" s="1"/>
  <c r="L12"/>
  <c r="L25"/>
  <c r="Q25" s="1"/>
  <c r="L29"/>
  <c r="L16"/>
  <c r="M16" s="1"/>
  <c r="L21"/>
  <c r="L33"/>
  <c r="Q33" s="1"/>
  <c r="L37"/>
  <c r="E41"/>
  <c r="C41"/>
  <c r="D41" s="1"/>
  <c r="H41"/>
  <c r="I41"/>
  <c r="L41" s="1"/>
  <c r="L4"/>
  <c r="J4"/>
  <c r="K4"/>
  <c r="Z5"/>
  <c r="L10"/>
  <c r="J10"/>
  <c r="P11"/>
  <c r="P12"/>
  <c r="M12"/>
  <c r="L15"/>
  <c r="J15"/>
  <c r="P16"/>
  <c r="Y18"/>
  <c r="G18"/>
  <c r="H18" s="1"/>
  <c r="G19"/>
  <c r="H19" s="1"/>
  <c r="Y19"/>
  <c r="L20"/>
  <c r="J20"/>
  <c r="K20"/>
  <c r="P21"/>
  <c r="M21"/>
  <c r="O21"/>
  <c r="H26"/>
  <c r="I26"/>
  <c r="K27"/>
  <c r="L27"/>
  <c r="H28"/>
  <c r="I28"/>
  <c r="P29"/>
  <c r="M29"/>
  <c r="O29"/>
  <c r="L30"/>
  <c r="J30"/>
  <c r="K30"/>
  <c r="K35"/>
  <c r="L35"/>
  <c r="H36"/>
  <c r="I36"/>
  <c r="P37"/>
  <c r="M37"/>
  <c r="O37"/>
  <c r="L39"/>
  <c r="J39"/>
  <c r="K39"/>
  <c r="H22"/>
  <c r="I22"/>
  <c r="G23"/>
  <c r="H23" s="1"/>
  <c r="Y23"/>
  <c r="L24"/>
  <c r="J24"/>
  <c r="K24"/>
  <c r="M25"/>
  <c r="K31"/>
  <c r="L31"/>
  <c r="H32"/>
  <c r="I32"/>
  <c r="P33"/>
  <c r="O33"/>
  <c r="L34"/>
  <c r="J34"/>
  <c r="K34"/>
  <c r="J41"/>
  <c r="I5"/>
  <c r="I6"/>
  <c r="I7"/>
  <c r="Y7"/>
  <c r="J9"/>
  <c r="Q12"/>
  <c r="J14"/>
  <c r="Q16"/>
  <c r="I18"/>
  <c r="I8"/>
  <c r="L9"/>
  <c r="Y9"/>
  <c r="K10"/>
  <c r="J11"/>
  <c r="J12"/>
  <c r="O12"/>
  <c r="I13"/>
  <c r="L14"/>
  <c r="Y14"/>
  <c r="K15"/>
  <c r="J16"/>
  <c r="I17"/>
  <c r="Q21"/>
  <c r="I23"/>
  <c r="J27"/>
  <c r="Y27"/>
  <c r="Q29"/>
  <c r="J35"/>
  <c r="Y35"/>
  <c r="Q37"/>
  <c r="J21"/>
  <c r="J25"/>
  <c r="J29"/>
  <c r="Y29"/>
  <c r="J33"/>
  <c r="Y33"/>
  <c r="J37"/>
  <c r="Y37"/>
  <c r="O16" l="1"/>
  <c r="O11"/>
  <c r="Q11"/>
  <c r="M33"/>
  <c r="O25"/>
  <c r="P25"/>
  <c r="K41"/>
  <c r="K23"/>
  <c r="L23"/>
  <c r="J23"/>
  <c r="L17"/>
  <c r="J17"/>
  <c r="K17"/>
  <c r="L13"/>
  <c r="J13"/>
  <c r="K13"/>
  <c r="L8"/>
  <c r="J8"/>
  <c r="K8"/>
  <c r="K18"/>
  <c r="L18"/>
  <c r="J18"/>
  <c r="L6"/>
  <c r="J6"/>
  <c r="K6"/>
  <c r="Q41"/>
  <c r="O41"/>
  <c r="P41"/>
  <c r="M41"/>
  <c r="Q24"/>
  <c r="O24"/>
  <c r="P24"/>
  <c r="M24"/>
  <c r="Q20"/>
  <c r="O20"/>
  <c r="P20"/>
  <c r="M20"/>
  <c r="Q15"/>
  <c r="O15"/>
  <c r="P15"/>
  <c r="M15"/>
  <c r="Q10"/>
  <c r="O10"/>
  <c r="P10"/>
  <c r="M10"/>
  <c r="AC5"/>
  <c r="AE5" s="1"/>
  <c r="AA5"/>
  <c r="AB5" s="1"/>
  <c r="P14"/>
  <c r="M14"/>
  <c r="Q14"/>
  <c r="O14"/>
  <c r="P9"/>
  <c r="M9"/>
  <c r="Q9"/>
  <c r="O9"/>
  <c r="K7"/>
  <c r="J7"/>
  <c r="L7"/>
  <c r="L5"/>
  <c r="J5"/>
  <c r="K5"/>
  <c r="Q34"/>
  <c r="O34"/>
  <c r="P34"/>
  <c r="M34"/>
  <c r="L32"/>
  <c r="J32"/>
  <c r="K32"/>
  <c r="P31"/>
  <c r="M31"/>
  <c r="Q31"/>
  <c r="O31"/>
  <c r="L22"/>
  <c r="J22"/>
  <c r="K22"/>
  <c r="Q39"/>
  <c r="O39"/>
  <c r="P39"/>
  <c r="C13" i="3" s="1"/>
  <c r="M39" i="1"/>
  <c r="L36"/>
  <c r="J36"/>
  <c r="K36"/>
  <c r="P35"/>
  <c r="M35"/>
  <c r="Q35"/>
  <c r="O35"/>
  <c r="Q30"/>
  <c r="O30"/>
  <c r="P30"/>
  <c r="M30"/>
  <c r="L28"/>
  <c r="J28"/>
  <c r="K28"/>
  <c r="P27"/>
  <c r="M27"/>
  <c r="Q27"/>
  <c r="O27"/>
  <c r="L26"/>
  <c r="J26"/>
  <c r="K26"/>
  <c r="V26"/>
  <c r="V24"/>
  <c r="V22"/>
  <c r="V20"/>
  <c r="V18"/>
  <c r="V25"/>
  <c r="V21"/>
  <c r="V17"/>
  <c r="V15"/>
  <c r="V13"/>
  <c r="V10"/>
  <c r="V8"/>
  <c r="V19"/>
  <c r="V16"/>
  <c r="V12"/>
  <c r="V11"/>
  <c r="V7"/>
  <c r="V6"/>
  <c r="V5"/>
  <c r="V4"/>
  <c r="Q4"/>
  <c r="O4"/>
  <c r="V23"/>
  <c r="V14"/>
  <c r="V9"/>
  <c r="P4"/>
  <c r="M4"/>
  <c r="I19"/>
  <c r="C19" i="3" l="1"/>
  <c r="C44" i="1"/>
  <c r="C47" s="1"/>
  <c r="C19" i="2"/>
  <c r="K19" i="1"/>
  <c r="L19"/>
  <c r="J19"/>
  <c r="Q26"/>
  <c r="O26"/>
  <c r="M26"/>
  <c r="P26"/>
  <c r="Q36"/>
  <c r="O36"/>
  <c r="M36"/>
  <c r="P36"/>
  <c r="Q32"/>
  <c r="O32"/>
  <c r="M32"/>
  <c r="P32"/>
  <c r="P7"/>
  <c r="M7"/>
  <c r="O7"/>
  <c r="Q7"/>
  <c r="Q13"/>
  <c r="O13"/>
  <c r="M13"/>
  <c r="P13"/>
  <c r="Q28"/>
  <c r="O28"/>
  <c r="M28"/>
  <c r="P28"/>
  <c r="Q22"/>
  <c r="O22"/>
  <c r="M22"/>
  <c r="P22"/>
  <c r="Q5"/>
  <c r="O5"/>
  <c r="P5"/>
  <c r="M5"/>
  <c r="X6"/>
  <c r="Z6" s="1"/>
  <c r="AD5"/>
  <c r="AG5"/>
  <c r="AI5" s="1"/>
  <c r="Q6"/>
  <c r="O6"/>
  <c r="P6"/>
  <c r="M6"/>
  <c r="Q18"/>
  <c r="O18"/>
  <c r="M18"/>
  <c r="P18"/>
  <c r="Q8"/>
  <c r="O8"/>
  <c r="M8"/>
  <c r="P8"/>
  <c r="Q17"/>
  <c r="O17"/>
  <c r="M17"/>
  <c r="P17"/>
  <c r="P23"/>
  <c r="M23"/>
  <c r="Q23"/>
  <c r="O23"/>
  <c r="C51"/>
  <c r="AH5" l="1"/>
  <c r="AF6" s="1"/>
  <c r="AC6"/>
  <c r="AE6" s="1"/>
  <c r="AA6"/>
  <c r="AB6" s="1"/>
  <c r="P19"/>
  <c r="M19"/>
  <c r="Q19"/>
  <c r="O19"/>
  <c r="X7" l="1"/>
  <c r="Z7" s="1"/>
  <c r="AD6"/>
  <c r="AG6"/>
  <c r="AI6" s="1"/>
  <c r="AH6" l="1"/>
  <c r="AF7" s="1"/>
  <c r="AG7" s="1"/>
  <c r="AI7" s="1"/>
  <c r="AA7"/>
  <c r="AB7" s="1"/>
  <c r="AC7"/>
  <c r="AE7" s="1"/>
  <c r="AH7" l="1"/>
  <c r="AF8" s="1"/>
  <c r="AD7"/>
  <c r="X8"/>
  <c r="Z8" s="1"/>
  <c r="AC8" l="1"/>
  <c r="AE8" s="1"/>
  <c r="AA8"/>
  <c r="AB8" s="1"/>
  <c r="X9" l="1"/>
  <c r="Z9" s="1"/>
  <c r="AD8"/>
  <c r="AG8"/>
  <c r="AI8" s="1"/>
  <c r="AH8" l="1"/>
  <c r="AF9" s="1"/>
  <c r="AC9"/>
  <c r="AE9" s="1"/>
  <c r="AA9"/>
  <c r="AB9" s="1"/>
  <c r="AD9" l="1"/>
  <c r="X10"/>
  <c r="Z10" s="1"/>
  <c r="AG9"/>
  <c r="AI9" s="1"/>
  <c r="AC10" l="1"/>
  <c r="AE10" s="1"/>
  <c r="AA10"/>
  <c r="AB10" s="1"/>
  <c r="AH9"/>
  <c r="AF10" s="1"/>
  <c r="AG10" s="1"/>
  <c r="AI10" s="1"/>
  <c r="X11" l="1"/>
  <c r="Z11" s="1"/>
  <c r="AD10"/>
  <c r="AH10" s="1"/>
  <c r="AF11" s="1"/>
  <c r="AA11" l="1"/>
  <c r="AB11" s="1"/>
  <c r="AC11"/>
  <c r="AE11" s="1"/>
  <c r="X12" l="1"/>
  <c r="Z12" s="1"/>
  <c r="AD11"/>
  <c r="AG11"/>
  <c r="AI11" s="1"/>
  <c r="AH11" l="1"/>
  <c r="AF12" s="1"/>
  <c r="AA12"/>
  <c r="AB12" s="1"/>
  <c r="AC12"/>
  <c r="AE12" s="1"/>
  <c r="AD12" l="1"/>
  <c r="X13"/>
  <c r="Z13" s="1"/>
  <c r="AG12"/>
  <c r="AI12" s="1"/>
  <c r="AC13" l="1"/>
  <c r="AE13" s="1"/>
  <c r="AA13"/>
  <c r="AB13" s="1"/>
  <c r="AH12"/>
  <c r="AF13" s="1"/>
  <c r="AG13" s="1"/>
  <c r="AI13" s="1"/>
  <c r="X14" l="1"/>
  <c r="Z14" s="1"/>
  <c r="AD13"/>
  <c r="AH13" s="1"/>
  <c r="AF14" s="1"/>
  <c r="AC14" l="1"/>
  <c r="AE14" s="1"/>
  <c r="AA14"/>
  <c r="AB14" s="1"/>
  <c r="AD14" l="1"/>
  <c r="X15"/>
  <c r="Z15" s="1"/>
  <c r="AG14"/>
  <c r="AI14" s="1"/>
  <c r="AC15" l="1"/>
  <c r="AE15" s="1"/>
  <c r="AA15"/>
  <c r="AB15" s="1"/>
  <c r="AH14"/>
  <c r="AF15" s="1"/>
  <c r="AG15" s="1"/>
  <c r="AI15" s="1"/>
  <c r="X16" l="1"/>
  <c r="Z16" s="1"/>
  <c r="AD15"/>
  <c r="AH15" s="1"/>
  <c r="AF16" s="1"/>
  <c r="AA16" l="1"/>
  <c r="AB16" s="1"/>
  <c r="AC16"/>
  <c r="AE16" s="1"/>
  <c r="AD16" l="1"/>
  <c r="X17"/>
  <c r="Z17" s="1"/>
  <c r="AG16"/>
  <c r="AI16" s="1"/>
  <c r="AC17" l="1"/>
  <c r="AE17" s="1"/>
  <c r="AA17"/>
  <c r="AB17" s="1"/>
  <c r="AH16"/>
  <c r="AF17" s="1"/>
  <c r="AG17" l="1"/>
  <c r="AI17" s="1"/>
  <c r="X18"/>
  <c r="Z18" s="1"/>
  <c r="AD17"/>
  <c r="AH17" s="1"/>
  <c r="AF18" s="1"/>
  <c r="AC18" l="1"/>
  <c r="AE18" s="1"/>
  <c r="AA18"/>
  <c r="AB18" s="1"/>
  <c r="X19" l="1"/>
  <c r="Z19" s="1"/>
  <c r="AD18"/>
  <c r="AG18"/>
  <c r="AI18" s="1"/>
  <c r="AH18" l="1"/>
  <c r="AF19" s="1"/>
  <c r="AC19"/>
  <c r="AE19" s="1"/>
  <c r="AA19"/>
  <c r="AB19" s="1"/>
  <c r="AG19" l="1"/>
  <c r="AI19" s="1"/>
  <c r="AD19"/>
  <c r="AH19" s="1"/>
  <c r="AF20" s="1"/>
  <c r="X20"/>
  <c r="Z20" s="1"/>
  <c r="AC20" l="1"/>
  <c r="AE20" s="1"/>
  <c r="AA20"/>
  <c r="AB20" s="1"/>
  <c r="AG20" l="1"/>
  <c r="AI20" s="1"/>
  <c r="X21"/>
  <c r="Z21" s="1"/>
  <c r="AD20"/>
  <c r="AH20" l="1"/>
  <c r="AF21" s="1"/>
  <c r="AA21"/>
  <c r="AB21" s="1"/>
  <c r="AC21"/>
  <c r="AE21" s="1"/>
  <c r="AD21" l="1"/>
  <c r="X22"/>
  <c r="Z22" s="1"/>
  <c r="AG21"/>
  <c r="AI21" s="1"/>
  <c r="AH21" l="1"/>
  <c r="AF22" s="1"/>
  <c r="AC22"/>
  <c r="AE22" s="1"/>
  <c r="AA22"/>
  <c r="AB22" s="1"/>
  <c r="X23" l="1"/>
  <c r="Z23" s="1"/>
  <c r="AD22"/>
  <c r="AG22"/>
  <c r="AI22" s="1"/>
  <c r="AH22" l="1"/>
  <c r="AF23" s="1"/>
  <c r="AC23"/>
  <c r="AE23" s="1"/>
  <c r="AA23"/>
  <c r="AB23" s="1"/>
  <c r="AG23" l="1"/>
  <c r="AI23" s="1"/>
  <c r="AD23"/>
  <c r="AH23" s="1"/>
  <c r="AF24" s="1"/>
  <c r="X24"/>
  <c r="Z24" s="1"/>
  <c r="AC24" l="1"/>
  <c r="AE24" s="1"/>
  <c r="AA24"/>
  <c r="AB24" s="1"/>
  <c r="X25" l="1"/>
  <c r="Z25" s="1"/>
  <c r="AD24"/>
  <c r="AG24"/>
  <c r="AI24" s="1"/>
  <c r="AH24" l="1"/>
  <c r="AF25" s="1"/>
  <c r="AA25"/>
  <c r="AB25" s="1"/>
  <c r="AC25"/>
  <c r="AE25" s="1"/>
  <c r="AD25" l="1"/>
  <c r="X26"/>
  <c r="Z26" s="1"/>
  <c r="AG25"/>
  <c r="AI25" s="1"/>
  <c r="AH25" l="1"/>
  <c r="AF26" s="1"/>
  <c r="AC26"/>
  <c r="AE26" s="1"/>
  <c r="AA26"/>
  <c r="AB26" s="1"/>
  <c r="X27" l="1"/>
  <c r="Z27" s="1"/>
  <c r="AD26"/>
  <c r="AG26"/>
  <c r="AI26" s="1"/>
  <c r="AH26" l="1"/>
  <c r="AF27" s="1"/>
  <c r="AA27"/>
  <c r="AB27" s="1"/>
  <c r="AC27"/>
  <c r="AE27" s="1"/>
  <c r="AG27" l="1"/>
  <c r="AI27" s="1"/>
  <c r="AH27"/>
  <c r="AF28" s="1"/>
  <c r="AD27"/>
  <c r="X28"/>
  <c r="Z28" s="1"/>
  <c r="AC28" l="1"/>
  <c r="AE28" s="1"/>
  <c r="AA28"/>
  <c r="AB28" s="1"/>
  <c r="X29" l="1"/>
  <c r="Z29" s="1"/>
  <c r="AD28"/>
  <c r="AG28"/>
  <c r="AI28" s="1"/>
  <c r="AH28" l="1"/>
  <c r="AF29" s="1"/>
  <c r="AC29"/>
  <c r="AE29" s="1"/>
  <c r="AA29"/>
  <c r="AB29" s="1"/>
  <c r="AG29" l="1"/>
  <c r="AI29" s="1"/>
  <c r="AD29"/>
  <c r="X30"/>
  <c r="Z30" s="1"/>
  <c r="AC30" l="1"/>
  <c r="AE30" s="1"/>
  <c r="AA30"/>
  <c r="AB30" s="1"/>
  <c r="AH29"/>
  <c r="AF30" s="1"/>
  <c r="AG30" l="1"/>
  <c r="AI30" s="1"/>
  <c r="X31"/>
  <c r="Z31" s="1"/>
  <c r="AD30"/>
  <c r="AH30" s="1"/>
  <c r="AF31" s="1"/>
  <c r="AA31" l="1"/>
  <c r="AB31" s="1"/>
  <c r="AC31"/>
  <c r="AE31" s="1"/>
  <c r="AD31" l="1"/>
  <c r="X32"/>
  <c r="Z32" s="1"/>
  <c r="AG31"/>
  <c r="AI31" s="1"/>
  <c r="AC32" l="1"/>
  <c r="AE32" s="1"/>
  <c r="AA32"/>
  <c r="AB32" s="1"/>
  <c r="AH31"/>
  <c r="AF32" s="1"/>
  <c r="AG32" l="1"/>
  <c r="AI32" s="1"/>
  <c r="X33"/>
  <c r="Z33" s="1"/>
  <c r="AD32"/>
  <c r="AH32" s="1"/>
  <c r="AF33" s="1"/>
  <c r="AC33" l="1"/>
  <c r="AE33" s="1"/>
  <c r="AA33"/>
  <c r="AB33" s="1"/>
  <c r="AD33" l="1"/>
  <c r="X34"/>
  <c r="Z34" s="1"/>
  <c r="AG33"/>
  <c r="AI33" s="1"/>
  <c r="AH33" l="1"/>
  <c r="AF34" s="1"/>
  <c r="AC34"/>
  <c r="AE34" s="1"/>
  <c r="AA34"/>
  <c r="AB34" s="1"/>
  <c r="X35" l="1"/>
  <c r="Z35" s="1"/>
  <c r="AD34"/>
  <c r="AG34"/>
  <c r="AI34" s="1"/>
  <c r="AH34" l="1"/>
  <c r="AF35" s="1"/>
  <c r="AA35"/>
  <c r="AB35" s="1"/>
  <c r="AC35"/>
  <c r="AE35" s="1"/>
  <c r="AD35" l="1"/>
  <c r="X36"/>
  <c r="Z36" s="1"/>
  <c r="AG35"/>
  <c r="AI35" s="1"/>
  <c r="AH35" l="1"/>
  <c r="AF36" s="1"/>
  <c r="AC36"/>
  <c r="AE36" s="1"/>
  <c r="AA36"/>
  <c r="AB36" s="1"/>
  <c r="X37" l="1"/>
  <c r="Z37" s="1"/>
  <c r="AD36"/>
  <c r="AG36"/>
  <c r="AI36" s="1"/>
  <c r="AH36" l="1"/>
  <c r="AF37" s="1"/>
  <c r="AC37"/>
  <c r="AE37" s="1"/>
  <c r="AA37"/>
  <c r="AB37" s="1"/>
  <c r="AG37" l="1"/>
  <c r="AI37" s="1"/>
  <c r="AD37"/>
  <c r="X39"/>
  <c r="Z39" s="1"/>
  <c r="AH37" l="1"/>
  <c r="AF39" s="1"/>
  <c r="AC39"/>
  <c r="AE39" s="1"/>
  <c r="AA39"/>
  <c r="AB39" s="1"/>
  <c r="AD39" s="1"/>
  <c r="AG39" l="1"/>
  <c r="AI39" s="1"/>
  <c r="AH39" s="1"/>
</calcChain>
</file>

<file path=xl/sharedStrings.xml><?xml version="1.0" encoding="utf-8"?>
<sst xmlns="http://schemas.openxmlformats.org/spreadsheetml/2006/main" count="96" uniqueCount="69">
  <si>
    <t>Там, где красные числа можно подставлять свои значения.</t>
  </si>
  <si>
    <t>0бъём спира  Литр.</t>
  </si>
  <si>
    <t xml:space="preserve">Для мощности  </t>
  </si>
  <si>
    <t>кВт</t>
  </si>
  <si>
    <r>
      <rPr>
        <b/>
        <sz val="11"/>
        <color rgb="FFFF0000"/>
        <rFont val="Calibri"/>
      </rPr>
      <t xml:space="preserve"> Спирта в баке Объёмн </t>
    </r>
    <r>
      <rPr>
        <b/>
        <sz val="12"/>
        <color rgb="FFFF0000"/>
        <rFont val="Calibri"/>
      </rPr>
      <t>%</t>
    </r>
  </si>
  <si>
    <t>Спирта в баке Масс.Доля</t>
  </si>
  <si>
    <t>Спирта в баке Моль.доля</t>
  </si>
  <si>
    <r>
      <rPr>
        <b/>
        <sz val="14"/>
        <color theme="1"/>
        <rFont val="Calibri"/>
      </rPr>
      <t xml:space="preserve"> t℃   </t>
    </r>
    <r>
      <rPr>
        <b/>
        <sz val="11"/>
        <color theme="1"/>
        <rFont val="Calibri"/>
      </rPr>
      <t xml:space="preserve"> кипения</t>
    </r>
  </si>
  <si>
    <r>
      <rPr>
        <b/>
        <sz val="11"/>
        <color rgb="FF494429"/>
        <rFont val="Calibri"/>
      </rPr>
      <t xml:space="preserve"> Спирта в паре Объёмн</t>
    </r>
    <r>
      <rPr>
        <b/>
        <sz val="14"/>
        <color rgb="FF808000"/>
        <rFont val="Calibri"/>
      </rPr>
      <t xml:space="preserve"> %</t>
    </r>
  </si>
  <si>
    <t xml:space="preserve"> Спирта в паре Масс.Доля</t>
  </si>
  <si>
    <t xml:space="preserve"> Спирта в паре Моль.доля</t>
  </si>
  <si>
    <t xml:space="preserve">масса пара в час </t>
  </si>
  <si>
    <t>объём пара в час</t>
  </si>
  <si>
    <t>Объём жидкости</t>
  </si>
  <si>
    <t>узнать ФЧ</t>
  </si>
  <si>
    <r>
      <rPr>
        <b/>
        <sz val="11"/>
        <color theme="1"/>
        <rFont val="Calibri"/>
      </rPr>
      <t xml:space="preserve"> Спирта в баке Объёмн </t>
    </r>
    <r>
      <rPr>
        <b/>
        <sz val="12"/>
        <color theme="1"/>
        <rFont val="Calibri"/>
      </rPr>
      <t>%</t>
    </r>
  </si>
  <si>
    <t>ФЧ</t>
  </si>
  <si>
    <t>отбор Л/ч</t>
  </si>
  <si>
    <t>Крект</t>
  </si>
  <si>
    <t xml:space="preserve">сумма спирт </t>
  </si>
  <si>
    <t>сумма СС</t>
  </si>
  <si>
    <t>остаок сп</t>
  </si>
  <si>
    <t>остаток сс</t>
  </si>
  <si>
    <t>ККр</t>
  </si>
  <si>
    <t>И в паре</t>
  </si>
  <si>
    <t>И в баке%</t>
  </si>
  <si>
    <t>грамм</t>
  </si>
  <si>
    <t xml:space="preserve"> кг/ч</t>
  </si>
  <si>
    <t>г /с</t>
  </si>
  <si>
    <t>литр /ч</t>
  </si>
  <si>
    <t>л/ч</t>
  </si>
  <si>
    <t>мл/с</t>
  </si>
  <si>
    <t>СС в кубе</t>
  </si>
  <si>
    <t>АС в кубе</t>
  </si>
  <si>
    <t>Время одного переиспарения</t>
  </si>
  <si>
    <t>Головы</t>
  </si>
  <si>
    <t>проценты</t>
  </si>
  <si>
    <t>объём, мл</t>
  </si>
  <si>
    <t>Скорость отбора, мл/час</t>
  </si>
  <si>
    <t>Время отбора</t>
  </si>
  <si>
    <t>Количество переиспарений</t>
  </si>
  <si>
    <t>Чистая подаваемая мощность</t>
  </si>
  <si>
    <t>Объём СС в кубе</t>
  </si>
  <si>
    <t>литр</t>
  </si>
  <si>
    <t>Спиртуозность СС в кубе</t>
  </si>
  <si>
    <t>%об.</t>
  </si>
  <si>
    <t>час</t>
  </si>
  <si>
    <t>Время работы на себя</t>
  </si>
  <si>
    <t>мин</t>
  </si>
  <si>
    <t>Процент отбираемых голов</t>
  </si>
  <si>
    <t>%</t>
  </si>
  <si>
    <t>Объём отбираемых голов</t>
  </si>
  <si>
    <t>мл</t>
  </si>
  <si>
    <t>мл/час</t>
  </si>
  <si>
    <t>Скорость отбора голов с учетом работы на себя и процента отбираемых голов</t>
  </si>
  <si>
    <t>ВНИМАНИЕ!!!</t>
  </si>
  <si>
    <t>Расчет к методу предложенному АлексеемТ , заключаемом в первоначальном</t>
  </si>
  <si>
    <t>НЕ ДЛЯ НОВИЧКОВ!!!</t>
  </si>
  <si>
    <t>отборе голов в количестве 3% за одно переиспарение спирта, промывкой УО</t>
  </si>
  <si>
    <t xml:space="preserve"> и дальнейшем отборе голов (около 3%) параллельно с телом</t>
  </si>
  <si>
    <t>Расчет скорости отбора голов за одно переиспарение спирта</t>
  </si>
  <si>
    <t>Время одного переиспарения спирта</t>
  </si>
  <si>
    <t>Ой-Ля-Ля</t>
  </si>
  <si>
    <t>Спиртуозность ставить в диапазоне 10-97%об</t>
  </si>
  <si>
    <t>Расчет количества переиспарений при заданной  скорости отбора голов</t>
  </si>
  <si>
    <t>литр, 100%</t>
  </si>
  <si>
    <t xml:space="preserve">Скорость отбора голов </t>
  </si>
  <si>
    <t>Время отбора голов</t>
  </si>
  <si>
    <t>Количество переиспарений с учетом работы "на себя"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</si>
</sst>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"/>
    <numFmt numFmtId="166" formatCode="[h]:mm:ss;@"/>
  </numFmts>
  <fonts count="36">
    <font>
      <sz val="11"/>
      <color rgb="FF000000"/>
      <name val="Calibri"/>
      <scheme val="minor"/>
    </font>
    <font>
      <b/>
      <sz val="12"/>
      <color rgb="FFFF0000"/>
      <name val="Arimo"/>
    </font>
    <font>
      <sz val="11"/>
      <name val="Arial"/>
    </font>
    <font>
      <b/>
      <sz val="12"/>
      <color rgb="FF000000"/>
      <name val="Calibri"/>
    </font>
    <font>
      <b/>
      <sz val="14"/>
      <color rgb="FF262626"/>
      <name val="Calibri"/>
    </font>
    <font>
      <b/>
      <sz val="14"/>
      <color theme="1"/>
      <name val="Calibri"/>
    </font>
    <font>
      <sz val="11"/>
      <color theme="1"/>
      <name val="Calibri"/>
    </font>
    <font>
      <b/>
      <sz val="11"/>
      <color rgb="FFFF0000"/>
      <name val="Calibri"/>
    </font>
    <font>
      <b/>
      <sz val="12"/>
      <color rgb="FFFF0000"/>
      <name val="Calibri"/>
    </font>
    <font>
      <b/>
      <sz val="11"/>
      <color rgb="FF000000"/>
      <name val="Calibri"/>
    </font>
    <font>
      <b/>
      <sz val="11"/>
      <color theme="1"/>
      <name val="Calibri"/>
    </font>
    <font>
      <b/>
      <sz val="11"/>
      <color rgb="FF494429"/>
      <name val="Calibri"/>
    </font>
    <font>
      <b/>
      <sz val="14"/>
      <color rgb="FF808000"/>
      <name val="Calibri"/>
    </font>
    <font>
      <b/>
      <sz val="12"/>
      <color theme="1"/>
      <name val="Calibri"/>
    </font>
    <font>
      <b/>
      <sz val="16"/>
      <color rgb="FF262626"/>
      <name val="Calibri"/>
    </font>
    <font>
      <b/>
      <sz val="16"/>
      <color theme="1"/>
      <name val="Calibri"/>
    </font>
    <font>
      <b/>
      <sz val="10"/>
      <color theme="1"/>
      <name val="Calibri"/>
    </font>
    <font>
      <b/>
      <sz val="12"/>
      <color rgb="FF494429"/>
      <name val="Calibri"/>
    </font>
    <font>
      <b/>
      <sz val="10"/>
      <color rgb="FFFF0000"/>
      <name val="Calibri"/>
    </font>
    <font>
      <b/>
      <sz val="11"/>
      <color rgb="FF0C0C0C"/>
      <name val="Calibri"/>
    </font>
    <font>
      <b/>
      <sz val="10"/>
      <color rgb="FF494429"/>
      <name val="Calibri"/>
    </font>
    <font>
      <b/>
      <sz val="10"/>
      <color rgb="FF000000"/>
      <name val="Calibri"/>
    </font>
    <font>
      <b/>
      <sz val="11"/>
      <color rgb="FFFF000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FF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color theme="1"/>
      <name val="Calibri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i/>
      <sz val="12"/>
      <color rgb="FF000000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</font>
  </fonts>
  <fills count="21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BFBFBF"/>
        <bgColor rgb="FFBFBFBF"/>
      </patternFill>
    </fill>
    <fill>
      <patternFill patternType="solid">
        <fgColor rgb="FFFBD4B4"/>
        <bgColor rgb="FFFBD4B4"/>
      </patternFill>
    </fill>
    <fill>
      <patternFill patternType="solid">
        <fgColor rgb="FFFABF8F"/>
        <bgColor rgb="FFFABF8F"/>
      </patternFill>
    </fill>
    <fill>
      <patternFill patternType="solid">
        <fgColor rgb="FFDAEEF3"/>
        <bgColor rgb="FFDAEEF3"/>
      </patternFill>
    </fill>
    <fill>
      <patternFill patternType="solid">
        <fgColor rgb="FFE5B8B7"/>
        <bgColor rgb="FFE5B8B7"/>
      </patternFill>
    </fill>
    <fill>
      <patternFill patternType="solid">
        <fgColor rgb="FFFFFF99"/>
        <bgColor rgb="FFFFFF99"/>
      </patternFill>
    </fill>
    <fill>
      <patternFill patternType="solid">
        <fgColor rgb="FF99CCFF"/>
        <bgColor rgb="FF99CCFF"/>
      </patternFill>
    </fill>
    <fill>
      <patternFill patternType="solid">
        <fgColor rgb="FFFFCC99"/>
        <bgColor rgb="FFFFCC99"/>
      </patternFill>
    </fill>
    <fill>
      <patternFill patternType="solid">
        <fgColor rgb="FFFFFFCC"/>
        <bgColor rgb="FFFFFFCC"/>
      </patternFill>
    </fill>
    <fill>
      <patternFill patternType="solid">
        <fgColor rgb="FFFDE9D9"/>
        <bgColor rgb="FFFDE9D9"/>
      </patternFill>
    </fill>
    <fill>
      <patternFill patternType="solid">
        <fgColor rgb="FFCCCCFF"/>
        <bgColor rgb="FFCCCCFF"/>
      </patternFill>
    </fill>
    <fill>
      <patternFill patternType="solid">
        <fgColor rgb="FFD8D8D8"/>
        <bgColor rgb="FFD8D8D8"/>
      </patternFill>
    </fill>
    <fill>
      <patternFill patternType="solid">
        <fgColor rgb="FF99CC00"/>
        <bgColor rgb="FF99CC00"/>
      </patternFill>
    </fill>
    <fill>
      <patternFill patternType="solid">
        <fgColor rgb="FFFFFF00"/>
        <bgColor rgb="FFFFFF00"/>
      </patternFill>
    </fill>
    <fill>
      <patternFill patternType="solid">
        <fgColor rgb="FFFFC000"/>
        <bgColor rgb="FFD8D8D8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2F2F2"/>
      </patternFill>
    </fill>
  </fills>
  <borders count="4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3" fillId="0" borderId="0"/>
  </cellStyleXfs>
  <cellXfs count="196">
    <xf numFmtId="0" fontId="0" fillId="0" borderId="0" xfId="0"/>
    <xf numFmtId="0" fontId="3" fillId="2" borderId="2" xfId="0" applyFont="1" applyFill="1" applyBorder="1" applyAlignment="1"/>
    <xf numFmtId="0" fontId="3" fillId="2" borderId="3" xfId="0" applyFont="1" applyFill="1" applyBorder="1" applyAlignment="1"/>
    <xf numFmtId="0" fontId="0" fillId="0" borderId="0" xfId="0" applyFont="1" applyAlignment="1"/>
    <xf numFmtId="164" fontId="6" fillId="0" borderId="0" xfId="0" applyNumberFormat="1" applyFont="1" applyAlignment="1"/>
    <xf numFmtId="0" fontId="9" fillId="7" borderId="9" xfId="0" applyFont="1" applyFill="1" applyBorder="1" applyAlignment="1">
      <alignment horizontal="center" wrapText="1"/>
    </xf>
    <xf numFmtId="164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 wrapText="1"/>
    </xf>
    <xf numFmtId="0" fontId="9" fillId="7" borderId="19" xfId="0" applyFont="1" applyFill="1" applyBorder="1" applyAlignment="1">
      <alignment horizontal="center" vertical="center"/>
    </xf>
    <xf numFmtId="0" fontId="9" fillId="7" borderId="20" xfId="0" applyFont="1" applyFill="1" applyBorder="1" applyAlignment="1">
      <alignment horizontal="center" vertical="center"/>
    </xf>
    <xf numFmtId="0" fontId="10" fillId="7" borderId="6" xfId="0" applyFont="1" applyFill="1" applyBorder="1" applyAlignment="1">
      <alignment horizontal="center" vertical="center"/>
    </xf>
    <xf numFmtId="0" fontId="9" fillId="8" borderId="21" xfId="0" applyFont="1" applyFill="1" applyBorder="1" applyAlignment="1">
      <alignment horizontal="center" vertical="center"/>
    </xf>
    <xf numFmtId="0" fontId="9" fillId="8" borderId="4" xfId="0" applyFont="1" applyFill="1" applyBorder="1" applyAlignment="1">
      <alignment horizontal="center" vertical="center"/>
    </xf>
    <xf numFmtId="0" fontId="7" fillId="9" borderId="22" xfId="0" applyFont="1" applyFill="1" applyBorder="1" applyAlignment="1">
      <alignment horizontal="center" vertical="center"/>
    </xf>
    <xf numFmtId="0" fontId="9" fillId="9" borderId="23" xfId="0" applyFont="1" applyFill="1" applyBorder="1" applyAlignment="1">
      <alignment horizontal="center" vertical="center"/>
    </xf>
    <xf numFmtId="9" fontId="14" fillId="3" borderId="7" xfId="0" applyNumberFormat="1" applyFont="1" applyFill="1" applyBorder="1" applyAlignment="1">
      <alignment horizontal="center" vertical="center"/>
    </xf>
    <xf numFmtId="10" fontId="15" fillId="3" borderId="8" xfId="0" applyNumberFormat="1" applyFont="1" applyFill="1" applyBorder="1" applyAlignment="1">
      <alignment horizontal="center" vertical="center"/>
    </xf>
    <xf numFmtId="164" fontId="13" fillId="2" borderId="25" xfId="0" applyNumberFormat="1" applyFont="1" applyFill="1" applyBorder="1" applyAlignment="1">
      <alignment horizontal="center"/>
    </xf>
    <xf numFmtId="2" fontId="13" fillId="2" borderId="25" xfId="0" applyNumberFormat="1" applyFont="1" applyFill="1" applyBorder="1" applyAlignment="1">
      <alignment horizontal="center"/>
    </xf>
    <xf numFmtId="164" fontId="13" fillId="10" borderId="26" xfId="0" applyNumberFormat="1" applyFont="1" applyFill="1" applyBorder="1" applyAlignment="1">
      <alignment horizontal="center" vertical="center"/>
    </xf>
    <xf numFmtId="164" fontId="13" fillId="10" borderId="27" xfId="0" applyNumberFormat="1" applyFont="1" applyFill="1" applyBorder="1" applyAlignment="1">
      <alignment horizontal="center" vertical="center"/>
    </xf>
    <xf numFmtId="165" fontId="16" fillId="2" borderId="10" xfId="0" applyNumberFormat="1" applyFont="1" applyFill="1" applyBorder="1" applyAlignment="1">
      <alignment horizontal="center" vertical="center"/>
    </xf>
    <xf numFmtId="2" fontId="17" fillId="2" borderId="25" xfId="0" applyNumberFormat="1" applyFont="1" applyFill="1" applyBorder="1" applyAlignment="1">
      <alignment horizontal="center" vertical="center"/>
    </xf>
    <xf numFmtId="164" fontId="3" fillId="7" borderId="28" xfId="0" applyNumberFormat="1" applyFont="1" applyFill="1" applyBorder="1" applyAlignment="1">
      <alignment horizontal="center"/>
    </xf>
    <xf numFmtId="2" fontId="3" fillId="7" borderId="29" xfId="0" applyNumberFormat="1" applyFont="1" applyFill="1" applyBorder="1" applyAlignment="1">
      <alignment horizontal="center"/>
    </xf>
    <xf numFmtId="1" fontId="13" fillId="7" borderId="25" xfId="0" applyNumberFormat="1" applyFont="1" applyFill="1" applyBorder="1" applyAlignment="1">
      <alignment horizontal="center" vertical="center"/>
    </xf>
    <xf numFmtId="164" fontId="3" fillId="8" borderId="28" xfId="0" applyNumberFormat="1" applyFont="1" applyFill="1" applyBorder="1" applyAlignment="1">
      <alignment horizontal="center"/>
    </xf>
    <xf numFmtId="2" fontId="3" fillId="8" borderId="29" xfId="0" applyNumberFormat="1" applyFont="1" applyFill="1" applyBorder="1" applyAlignment="1">
      <alignment horizontal="center"/>
    </xf>
    <xf numFmtId="0" fontId="18" fillId="9" borderId="28" xfId="0" applyFont="1" applyFill="1" applyBorder="1" applyAlignment="1">
      <alignment horizontal="center"/>
    </xf>
    <xf numFmtId="2" fontId="3" fillId="9" borderId="29" xfId="0" applyNumberFormat="1" applyFont="1" applyFill="1" applyBorder="1" applyAlignment="1">
      <alignment horizontal="center"/>
    </xf>
    <xf numFmtId="2" fontId="10" fillId="3" borderId="26" xfId="0" applyNumberFormat="1" applyFont="1" applyFill="1" applyBorder="1" applyAlignment="1">
      <alignment horizontal="center" vertical="center"/>
    </xf>
    <xf numFmtId="2" fontId="19" fillId="3" borderId="27" xfId="0" applyNumberFormat="1" applyFont="1" applyFill="1" applyBorder="1" applyAlignment="1">
      <alignment horizontal="center" vertical="center"/>
    </xf>
    <xf numFmtId="165" fontId="16" fillId="2" borderId="30" xfId="0" applyNumberFormat="1" applyFont="1" applyFill="1" applyBorder="1" applyAlignment="1">
      <alignment horizontal="center" vertical="center"/>
    </xf>
    <xf numFmtId="2" fontId="13" fillId="2" borderId="30" xfId="0" applyNumberFormat="1" applyFont="1" applyFill="1" applyBorder="1" applyAlignment="1">
      <alignment horizontal="center"/>
    </xf>
    <xf numFmtId="165" fontId="13" fillId="4" borderId="30" xfId="0" applyNumberFormat="1" applyFont="1" applyFill="1" applyBorder="1" applyAlignment="1">
      <alignment horizontal="center"/>
    </xf>
    <xf numFmtId="164" fontId="13" fillId="4" borderId="30" xfId="0" applyNumberFormat="1" applyFont="1" applyFill="1" applyBorder="1" applyAlignment="1">
      <alignment horizontal="center"/>
    </xf>
    <xf numFmtId="164" fontId="10" fillId="0" borderId="31" xfId="0" applyNumberFormat="1" applyFont="1" applyBorder="1" applyAlignment="1">
      <alignment horizontal="center"/>
    </xf>
    <xf numFmtId="165" fontId="8" fillId="0" borderId="31" xfId="0" applyNumberFormat="1" applyFont="1" applyBorder="1" applyAlignment="1">
      <alignment horizontal="center"/>
    </xf>
    <xf numFmtId="164" fontId="16" fillId="0" borderId="32" xfId="0" applyNumberFormat="1" applyFont="1" applyBorder="1" applyAlignment="1">
      <alignment horizontal="center" vertical="center"/>
    </xf>
    <xf numFmtId="164" fontId="13" fillId="2" borderId="33" xfId="0" applyNumberFormat="1" applyFont="1" applyFill="1" applyBorder="1" applyAlignment="1">
      <alignment horizontal="center" vertical="center"/>
    </xf>
    <xf numFmtId="165" fontId="16" fillId="0" borderId="34" xfId="0" applyNumberFormat="1" applyFont="1" applyBorder="1" applyAlignment="1">
      <alignment horizontal="center" vertical="center"/>
    </xf>
    <xf numFmtId="165" fontId="20" fillId="0" borderId="35" xfId="0" applyNumberFormat="1" applyFont="1" applyBorder="1" applyAlignment="1">
      <alignment horizontal="center" vertical="center"/>
    </xf>
    <xf numFmtId="164" fontId="21" fillId="11" borderId="36" xfId="0" applyNumberFormat="1" applyFont="1" applyFill="1" applyBorder="1" applyAlignment="1">
      <alignment horizontal="center"/>
    </xf>
    <xf numFmtId="2" fontId="21" fillId="11" borderId="37" xfId="0" applyNumberFormat="1" applyFont="1" applyFill="1" applyBorder="1" applyAlignment="1">
      <alignment horizontal="center"/>
    </xf>
    <xf numFmtId="1" fontId="13" fillId="12" borderId="31" xfId="0" applyNumberFormat="1" applyFont="1" applyFill="1" applyBorder="1" applyAlignment="1">
      <alignment horizontal="center" vertical="center"/>
    </xf>
    <xf numFmtId="0" fontId="18" fillId="13" borderId="36" xfId="0" applyFont="1" applyFill="1" applyBorder="1" applyAlignment="1">
      <alignment horizontal="center"/>
    </xf>
    <xf numFmtId="2" fontId="21" fillId="13" borderId="37" xfId="0" applyNumberFormat="1" applyFont="1" applyFill="1" applyBorder="1" applyAlignment="1">
      <alignment horizontal="center"/>
    </xf>
    <xf numFmtId="2" fontId="10" fillId="14" borderId="32" xfId="0" applyNumberFormat="1" applyFont="1" applyFill="1" applyBorder="1" applyAlignment="1">
      <alignment horizontal="center" vertical="center"/>
    </xf>
    <xf numFmtId="2" fontId="19" fillId="14" borderId="33" xfId="0" applyNumberFormat="1" applyFont="1" applyFill="1" applyBorder="1" applyAlignment="1">
      <alignment horizontal="center" vertical="center"/>
    </xf>
    <xf numFmtId="165" fontId="16" fillId="0" borderId="30" xfId="0" applyNumberFormat="1" applyFont="1" applyBorder="1" applyAlignment="1">
      <alignment horizontal="center" vertical="center"/>
    </xf>
    <xf numFmtId="165" fontId="13" fillId="0" borderId="30" xfId="0" applyNumberFormat="1" applyFont="1" applyBorder="1" applyAlignment="1">
      <alignment horizontal="center"/>
    </xf>
    <xf numFmtId="165" fontId="13" fillId="12" borderId="30" xfId="0" applyNumberFormat="1" applyFont="1" applyFill="1" applyBorder="1" applyAlignment="1">
      <alignment horizontal="center"/>
    </xf>
    <xf numFmtId="164" fontId="13" fillId="12" borderId="30" xfId="0" applyNumberFormat="1" applyFont="1" applyFill="1" applyBorder="1" applyAlignment="1">
      <alignment horizontal="center"/>
    </xf>
    <xf numFmtId="165" fontId="8" fillId="2" borderId="31" xfId="0" applyNumberFormat="1" applyFont="1" applyFill="1" applyBorder="1" applyAlignment="1">
      <alignment horizontal="center"/>
    </xf>
    <xf numFmtId="164" fontId="13" fillId="10" borderId="32" xfId="0" applyNumberFormat="1" applyFont="1" applyFill="1" applyBorder="1" applyAlignment="1">
      <alignment horizontal="center" vertical="center"/>
    </xf>
    <xf numFmtId="164" fontId="13" fillId="10" borderId="33" xfId="0" applyNumberFormat="1" applyFont="1" applyFill="1" applyBorder="1" applyAlignment="1">
      <alignment horizontal="center" vertical="center"/>
    </xf>
    <xf numFmtId="165" fontId="16" fillId="2" borderId="34" xfId="0" applyNumberFormat="1" applyFont="1" applyFill="1" applyBorder="1" applyAlignment="1">
      <alignment horizontal="center" vertical="center"/>
    </xf>
    <xf numFmtId="165" fontId="20" fillId="2" borderId="35" xfId="0" applyNumberFormat="1" applyFont="1" applyFill="1" applyBorder="1" applyAlignment="1">
      <alignment horizontal="center" vertical="center"/>
    </xf>
    <xf numFmtId="164" fontId="3" fillId="7" borderId="36" xfId="0" applyNumberFormat="1" applyFont="1" applyFill="1" applyBorder="1" applyAlignment="1">
      <alignment horizontal="center"/>
    </xf>
    <xf numFmtId="2" fontId="21" fillId="7" borderId="37" xfId="0" applyNumberFormat="1" applyFont="1" applyFill="1" applyBorder="1" applyAlignment="1">
      <alignment horizontal="center"/>
    </xf>
    <xf numFmtId="1" fontId="13" fillId="7" borderId="31" xfId="0" applyNumberFormat="1" applyFont="1" applyFill="1" applyBorder="1" applyAlignment="1">
      <alignment horizontal="center" vertical="center"/>
    </xf>
    <xf numFmtId="164" fontId="21" fillId="8" borderId="36" xfId="0" applyNumberFormat="1" applyFont="1" applyFill="1" applyBorder="1" applyAlignment="1">
      <alignment horizontal="center"/>
    </xf>
    <xf numFmtId="2" fontId="21" fillId="8" borderId="37" xfId="0" applyNumberFormat="1" applyFont="1" applyFill="1" applyBorder="1" applyAlignment="1">
      <alignment horizontal="center"/>
    </xf>
    <xf numFmtId="0" fontId="18" fillId="9" borderId="36" xfId="0" applyFont="1" applyFill="1" applyBorder="1" applyAlignment="1">
      <alignment horizontal="center"/>
    </xf>
    <xf numFmtId="2" fontId="21" fillId="9" borderId="37" xfId="0" applyNumberFormat="1" applyFont="1" applyFill="1" applyBorder="1" applyAlignment="1">
      <alignment horizontal="center"/>
    </xf>
    <xf numFmtId="2" fontId="10" fillId="3" borderId="32" xfId="0" applyNumberFormat="1" applyFont="1" applyFill="1" applyBorder="1" applyAlignment="1">
      <alignment horizontal="center" vertical="center"/>
    </xf>
    <xf numFmtId="2" fontId="19" fillId="3" borderId="33" xfId="0" applyNumberFormat="1" applyFont="1" applyFill="1" applyBorder="1" applyAlignment="1">
      <alignment horizontal="center" vertical="center"/>
    </xf>
    <xf numFmtId="165" fontId="13" fillId="2" borderId="30" xfId="0" applyNumberFormat="1" applyFont="1" applyFill="1" applyBorder="1" applyAlignment="1">
      <alignment horizontal="center"/>
    </xf>
    <xf numFmtId="164" fontId="10" fillId="2" borderId="31" xfId="0" applyNumberFormat="1" applyFont="1" applyFill="1" applyBorder="1" applyAlignment="1">
      <alignment horizontal="center"/>
    </xf>
    <xf numFmtId="164" fontId="10" fillId="15" borderId="31" xfId="0" applyNumberFormat="1" applyFont="1" applyFill="1" applyBorder="1" applyAlignment="1">
      <alignment horizontal="center"/>
    </xf>
    <xf numFmtId="164" fontId="13" fillId="15" borderId="32" xfId="0" applyNumberFormat="1" applyFont="1" applyFill="1" applyBorder="1" applyAlignment="1">
      <alignment horizontal="center" vertical="center"/>
    </xf>
    <xf numFmtId="164" fontId="13" fillId="15" borderId="33" xfId="0" applyNumberFormat="1" applyFont="1" applyFill="1" applyBorder="1" applyAlignment="1">
      <alignment horizontal="center" vertical="center"/>
    </xf>
    <xf numFmtId="165" fontId="16" fillId="15" borderId="34" xfId="0" applyNumberFormat="1" applyFont="1" applyFill="1" applyBorder="1" applyAlignment="1">
      <alignment horizontal="center" vertical="center"/>
    </xf>
    <xf numFmtId="165" fontId="20" fillId="15" borderId="35" xfId="0" applyNumberFormat="1" applyFont="1" applyFill="1" applyBorder="1" applyAlignment="1">
      <alignment horizontal="center" vertical="center"/>
    </xf>
    <xf numFmtId="164" fontId="3" fillId="15" borderId="36" xfId="0" applyNumberFormat="1" applyFont="1" applyFill="1" applyBorder="1" applyAlignment="1">
      <alignment horizontal="center"/>
    </xf>
    <xf numFmtId="2" fontId="21" fillId="15" borderId="37" xfId="0" applyNumberFormat="1" applyFont="1" applyFill="1" applyBorder="1" applyAlignment="1">
      <alignment horizontal="center"/>
    </xf>
    <xf numFmtId="1" fontId="13" fillId="15" borderId="31" xfId="0" applyNumberFormat="1" applyFont="1" applyFill="1" applyBorder="1" applyAlignment="1">
      <alignment horizontal="center" vertical="center"/>
    </xf>
    <xf numFmtId="164" fontId="21" fillId="15" borderId="36" xfId="0" applyNumberFormat="1" applyFont="1" applyFill="1" applyBorder="1" applyAlignment="1">
      <alignment horizontal="center"/>
    </xf>
    <xf numFmtId="0" fontId="18" fillId="15" borderId="36" xfId="0" applyFont="1" applyFill="1" applyBorder="1" applyAlignment="1">
      <alignment horizontal="center"/>
    </xf>
    <xf numFmtId="2" fontId="10" fillId="15" borderId="32" xfId="0" applyNumberFormat="1" applyFont="1" applyFill="1" applyBorder="1" applyAlignment="1">
      <alignment horizontal="center" vertical="center"/>
    </xf>
    <xf numFmtId="2" fontId="19" fillId="15" borderId="33" xfId="0" applyNumberFormat="1" applyFont="1" applyFill="1" applyBorder="1" applyAlignment="1">
      <alignment horizontal="center" vertical="center"/>
    </xf>
    <xf numFmtId="0" fontId="6" fillId="15" borderId="0" xfId="0" applyFont="1" applyFill="1" applyBorder="1" applyAlignment="1"/>
    <xf numFmtId="165" fontId="16" fillId="15" borderId="30" xfId="0" applyNumberFormat="1" applyFont="1" applyFill="1" applyBorder="1" applyAlignment="1">
      <alignment horizontal="center" vertical="center"/>
    </xf>
    <xf numFmtId="165" fontId="13" fillId="15" borderId="30" xfId="0" applyNumberFormat="1" applyFont="1" applyFill="1" applyBorder="1" applyAlignment="1">
      <alignment horizontal="center"/>
    </xf>
    <xf numFmtId="164" fontId="13" fillId="15" borderId="30" xfId="0" applyNumberFormat="1" applyFont="1" applyFill="1" applyBorder="1" applyAlignment="1">
      <alignment horizontal="center"/>
    </xf>
    <xf numFmtId="164" fontId="8" fillId="12" borderId="30" xfId="0" applyNumberFormat="1" applyFont="1" applyFill="1" applyBorder="1" applyAlignment="1">
      <alignment horizontal="center"/>
    </xf>
    <xf numFmtId="164" fontId="8" fillId="4" borderId="30" xfId="0" applyNumberFormat="1" applyFont="1" applyFill="1" applyBorder="1" applyAlignment="1">
      <alignment horizontal="center"/>
    </xf>
    <xf numFmtId="164" fontId="10" fillId="0" borderId="38" xfId="0" applyNumberFormat="1" applyFont="1" applyBorder="1" applyAlignment="1">
      <alignment horizontal="center"/>
    </xf>
    <xf numFmtId="164" fontId="16" fillId="0" borderId="39" xfId="0" applyNumberFormat="1" applyFont="1" applyBorder="1" applyAlignment="1">
      <alignment horizontal="center" vertical="center"/>
    </xf>
    <xf numFmtId="164" fontId="13" fillId="2" borderId="40" xfId="0" applyNumberFormat="1" applyFont="1" applyFill="1" applyBorder="1" applyAlignment="1">
      <alignment horizontal="center" vertical="center"/>
    </xf>
    <xf numFmtId="165" fontId="16" fillId="0" borderId="41" xfId="0" applyNumberFormat="1" applyFont="1" applyBorder="1" applyAlignment="1">
      <alignment horizontal="center" vertical="center"/>
    </xf>
    <xf numFmtId="165" fontId="20" fillId="0" borderId="18" xfId="0" applyNumberFormat="1" applyFont="1" applyBorder="1" applyAlignment="1">
      <alignment horizontal="center" vertical="center"/>
    </xf>
    <xf numFmtId="164" fontId="21" fillId="11" borderId="42" xfId="0" applyNumberFormat="1" applyFont="1" applyFill="1" applyBorder="1" applyAlignment="1">
      <alignment horizontal="center"/>
    </xf>
    <xf numFmtId="2" fontId="21" fillId="11" borderId="43" xfId="0" applyNumberFormat="1" applyFont="1" applyFill="1" applyBorder="1" applyAlignment="1">
      <alignment horizontal="center"/>
    </xf>
    <xf numFmtId="1" fontId="13" fillId="12" borderId="38" xfId="0" applyNumberFormat="1" applyFont="1" applyFill="1" applyBorder="1" applyAlignment="1">
      <alignment horizontal="center" vertical="center"/>
    </xf>
    <xf numFmtId="0" fontId="18" fillId="13" borderId="42" xfId="0" applyFont="1" applyFill="1" applyBorder="1" applyAlignment="1">
      <alignment horizontal="center"/>
    </xf>
    <xf numFmtId="2" fontId="21" fillId="13" borderId="43" xfId="0" applyNumberFormat="1" applyFont="1" applyFill="1" applyBorder="1" applyAlignment="1">
      <alignment horizontal="center"/>
    </xf>
    <xf numFmtId="2" fontId="10" fillId="14" borderId="39" xfId="0" applyNumberFormat="1" applyFont="1" applyFill="1" applyBorder="1" applyAlignment="1">
      <alignment horizontal="center" vertical="center"/>
    </xf>
    <xf numFmtId="2" fontId="19" fillId="14" borderId="40" xfId="0" applyNumberFormat="1" applyFont="1" applyFill="1" applyBorder="1" applyAlignment="1">
      <alignment horizontal="center" vertical="center"/>
    </xf>
    <xf numFmtId="165" fontId="13" fillId="12" borderId="30" xfId="0" applyNumberFormat="1" applyFont="1" applyFill="1" applyBorder="1" applyAlignment="1">
      <alignment horizontal="center" vertical="center"/>
    </xf>
    <xf numFmtId="164" fontId="10" fillId="16" borderId="38" xfId="0" applyNumberFormat="1" applyFont="1" applyFill="1" applyBorder="1" applyAlignment="1">
      <alignment horizontal="center"/>
    </xf>
    <xf numFmtId="164" fontId="16" fillId="16" borderId="39" xfId="0" applyNumberFormat="1" applyFont="1" applyFill="1" applyBorder="1" applyAlignment="1">
      <alignment horizontal="center" vertical="center"/>
    </xf>
    <xf numFmtId="164" fontId="13" fillId="16" borderId="40" xfId="0" applyNumberFormat="1" applyFont="1" applyFill="1" applyBorder="1" applyAlignment="1">
      <alignment horizontal="center" vertical="center"/>
    </xf>
    <xf numFmtId="165" fontId="16" fillId="16" borderId="41" xfId="0" applyNumberFormat="1" applyFont="1" applyFill="1" applyBorder="1" applyAlignment="1">
      <alignment horizontal="center" vertical="center"/>
    </xf>
    <xf numFmtId="165" fontId="20" fillId="16" borderId="18" xfId="0" applyNumberFormat="1" applyFont="1" applyFill="1" applyBorder="1" applyAlignment="1">
      <alignment horizontal="center" vertical="center"/>
    </xf>
    <xf numFmtId="164" fontId="21" fillId="16" borderId="42" xfId="0" applyNumberFormat="1" applyFont="1" applyFill="1" applyBorder="1" applyAlignment="1">
      <alignment horizontal="center"/>
    </xf>
    <xf numFmtId="2" fontId="21" fillId="16" borderId="43" xfId="0" applyNumberFormat="1" applyFont="1" applyFill="1" applyBorder="1" applyAlignment="1">
      <alignment horizontal="center"/>
    </xf>
    <xf numFmtId="1" fontId="13" fillId="16" borderId="38" xfId="0" applyNumberFormat="1" applyFont="1" applyFill="1" applyBorder="1" applyAlignment="1">
      <alignment horizontal="center" vertical="center"/>
    </xf>
    <xf numFmtId="0" fontId="18" fillId="16" borderId="42" xfId="0" applyFont="1" applyFill="1" applyBorder="1" applyAlignment="1">
      <alignment horizontal="center"/>
    </xf>
    <xf numFmtId="2" fontId="10" fillId="16" borderId="39" xfId="0" applyNumberFormat="1" applyFont="1" applyFill="1" applyBorder="1" applyAlignment="1">
      <alignment horizontal="center" vertical="center"/>
    </xf>
    <xf numFmtId="2" fontId="19" fillId="16" borderId="40" xfId="0" applyNumberFormat="1" applyFont="1" applyFill="1" applyBorder="1" applyAlignment="1">
      <alignment horizontal="center" vertical="center"/>
    </xf>
    <xf numFmtId="0" fontId="6" fillId="16" borderId="0" xfId="0" applyFont="1" applyFill="1" applyBorder="1" applyAlignment="1"/>
    <xf numFmtId="165" fontId="16" fillId="16" borderId="30" xfId="0" applyNumberFormat="1" applyFont="1" applyFill="1" applyBorder="1" applyAlignment="1">
      <alignment horizontal="center" vertical="center"/>
    </xf>
    <xf numFmtId="165" fontId="13" fillId="16" borderId="30" xfId="0" applyNumberFormat="1" applyFont="1" applyFill="1" applyBorder="1" applyAlignment="1">
      <alignment horizontal="center"/>
    </xf>
    <xf numFmtId="165" fontId="13" fillId="16" borderId="30" xfId="0" applyNumberFormat="1" applyFont="1" applyFill="1" applyBorder="1" applyAlignment="1">
      <alignment horizontal="center" vertical="center"/>
    </xf>
    <xf numFmtId="164" fontId="8" fillId="16" borderId="30" xfId="0" applyNumberFormat="1" applyFont="1" applyFill="1" applyBorder="1" applyAlignment="1">
      <alignment horizontal="center"/>
    </xf>
    <xf numFmtId="164" fontId="6" fillId="16" borderId="0" xfId="0" applyNumberFormat="1" applyFont="1" applyFill="1" applyBorder="1" applyAlignment="1"/>
    <xf numFmtId="11" fontId="6" fillId="0" borderId="0" xfId="0" applyNumberFormat="1" applyFont="1" applyAlignment="1"/>
    <xf numFmtId="164" fontId="22" fillId="0" borderId="38" xfId="0" applyNumberFormat="1" applyFont="1" applyBorder="1" applyAlignment="1">
      <alignment horizontal="center"/>
    </xf>
    <xf numFmtId="0" fontId="23" fillId="0" borderId="0" xfId="0" applyFont="1" applyAlignment="1"/>
    <xf numFmtId="0" fontId="24" fillId="2" borderId="15" xfId="0" applyNumberFormat="1" applyFont="1" applyFill="1" applyBorder="1" applyAlignment="1">
      <alignment horizontal="center"/>
    </xf>
    <xf numFmtId="164" fontId="16" fillId="0" borderId="44" xfId="0" applyNumberFormat="1" applyFont="1" applyFill="1" applyBorder="1" applyAlignment="1">
      <alignment horizontal="center" vertical="center"/>
    </xf>
    <xf numFmtId="164" fontId="13" fillId="2" borderId="45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Border="1" applyAlignment="1">
      <alignment horizontal="center" vertical="center"/>
    </xf>
    <xf numFmtId="165" fontId="20" fillId="0" borderId="15" xfId="0" applyNumberFormat="1" applyFont="1" applyFill="1" applyBorder="1" applyAlignment="1">
      <alignment horizontal="center" vertical="center"/>
    </xf>
    <xf numFmtId="0" fontId="0" fillId="0" borderId="0" xfId="0" applyAlignment="1"/>
    <xf numFmtId="0" fontId="25" fillId="11" borderId="46" xfId="0" applyNumberFormat="1" applyFont="1" applyFill="1" applyBorder="1" applyAlignment="1">
      <alignment horizontal="center"/>
    </xf>
    <xf numFmtId="166" fontId="26" fillId="17" borderId="44" xfId="0" applyNumberFormat="1" applyFont="1" applyFill="1" applyBorder="1" applyAlignment="1">
      <alignment horizontal="center" vertical="center"/>
    </xf>
    <xf numFmtId="10" fontId="27" fillId="0" borderId="0" xfId="0" applyNumberFormat="1" applyFont="1" applyAlignment="1"/>
    <xf numFmtId="2" fontId="23" fillId="0" borderId="0" xfId="0" applyNumberFormat="1" applyFont="1" applyAlignment="1"/>
    <xf numFmtId="0" fontId="27" fillId="0" borderId="0" xfId="0" applyNumberFormat="1" applyFont="1" applyAlignment="1"/>
    <xf numFmtId="166" fontId="0" fillId="0" borderId="0" xfId="0" applyNumberFormat="1" applyFont="1" applyAlignment="1"/>
    <xf numFmtId="2" fontId="0" fillId="0" borderId="0" xfId="0" applyNumberFormat="1" applyFont="1" applyAlignment="1"/>
    <xf numFmtId="0" fontId="0" fillId="0" borderId="0" xfId="0" applyNumberFormat="1" applyFont="1" applyAlignment="1"/>
    <xf numFmtId="0" fontId="29" fillId="0" borderId="0" xfId="0" applyFont="1"/>
    <xf numFmtId="0" fontId="30" fillId="0" borderId="0" xfId="0" applyFont="1"/>
    <xf numFmtId="0" fontId="32" fillId="0" borderId="0" xfId="0" applyFont="1"/>
    <xf numFmtId="0" fontId="33" fillId="0" borderId="0" xfId="0" applyFont="1"/>
    <xf numFmtId="2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4" fillId="3" borderId="4" xfId="0" applyFont="1" applyFill="1" applyBorder="1" applyAlignment="1">
      <alignment horizontal="center" wrapText="1"/>
    </xf>
    <xf numFmtId="0" fontId="2" fillId="0" borderId="5" xfId="0" applyFont="1" applyBorder="1"/>
    <xf numFmtId="0" fontId="2" fillId="0" borderId="12" xfId="0" applyFont="1" applyBorder="1"/>
    <xf numFmtId="0" fontId="2" fillId="0" borderId="13" xfId="0" applyFont="1" applyBorder="1"/>
    <xf numFmtId="0" fontId="5" fillId="4" borderId="1" xfId="0" applyFont="1" applyFill="1" applyBorder="1" applyAlignment="1">
      <alignment horizontal="right" vertical="center"/>
    </xf>
    <xf numFmtId="0" fontId="5" fillId="4" borderId="2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wrapText="1"/>
    </xf>
    <xf numFmtId="0" fontId="2" fillId="0" borderId="15" xfId="0" applyFont="1" applyBorder="1"/>
    <xf numFmtId="0" fontId="7" fillId="2" borderId="6" xfId="0" applyFont="1" applyFill="1" applyBorder="1" applyAlignment="1">
      <alignment horizontal="center" wrapText="1"/>
    </xf>
    <xf numFmtId="0" fontId="9" fillId="5" borderId="7" xfId="0" applyFont="1" applyFill="1" applyBorder="1" applyAlignment="1">
      <alignment horizontal="center" wrapText="1"/>
    </xf>
    <xf numFmtId="0" fontId="2" fillId="0" borderId="16" xfId="0" applyFont="1" applyBorder="1"/>
    <xf numFmtId="0" fontId="9" fillId="5" borderId="8" xfId="0" applyFont="1" applyFill="1" applyBorder="1" applyAlignment="1">
      <alignment horizontal="center" wrapText="1"/>
    </xf>
    <xf numFmtId="0" fontId="2" fillId="0" borderId="17" xfId="0" applyFont="1" applyBorder="1"/>
    <xf numFmtId="0" fontId="10" fillId="6" borderId="6" xfId="0" applyFont="1" applyFill="1" applyBorder="1" applyAlignment="1">
      <alignment horizontal="center" shrinkToFit="1"/>
    </xf>
    <xf numFmtId="0" fontId="2" fillId="0" borderId="18" xfId="0" applyFont="1" applyBorder="1"/>
    <xf numFmtId="0" fontId="11" fillId="2" borderId="6" xfId="0" applyFont="1" applyFill="1" applyBorder="1" applyAlignment="1">
      <alignment horizontal="center" shrinkToFit="1"/>
    </xf>
    <xf numFmtId="0" fontId="10" fillId="2" borderId="14" xfId="0" applyFont="1" applyFill="1" applyBorder="1" applyAlignment="1">
      <alignment horizontal="center" wrapText="1"/>
    </xf>
    <xf numFmtId="0" fontId="2" fillId="0" borderId="24" xfId="0" applyFont="1" applyBorder="1"/>
    <xf numFmtId="0" fontId="10" fillId="4" borderId="14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/>
    </xf>
    <xf numFmtId="0" fontId="9" fillId="8" borderId="1" xfId="0" applyFont="1" applyFill="1" applyBorder="1" applyAlignment="1">
      <alignment horizontal="center"/>
    </xf>
    <xf numFmtId="0" fontId="9" fillId="9" borderId="10" xfId="0" applyFont="1" applyFill="1" applyBorder="1" applyAlignment="1">
      <alignment horizontal="center"/>
    </xf>
    <xf numFmtId="0" fontId="2" fillId="0" borderId="11" xfId="0" applyFont="1" applyBorder="1"/>
    <xf numFmtId="0" fontId="10" fillId="6" borderId="14" xfId="0" applyFont="1" applyFill="1" applyBorder="1" applyAlignment="1">
      <alignment horizontal="center" shrinkToFit="1"/>
    </xf>
    <xf numFmtId="0" fontId="0" fillId="19" borderId="0" xfId="0" applyFill="1"/>
    <xf numFmtId="0" fontId="32" fillId="19" borderId="0" xfId="1" applyFont="1" applyFill="1"/>
    <xf numFmtId="0" fontId="23" fillId="19" borderId="0" xfId="1" applyFill="1"/>
    <xf numFmtId="164" fontId="35" fillId="20" borderId="0" xfId="0" applyNumberFormat="1" applyFont="1" applyFill="1" applyBorder="1" applyAlignment="1">
      <alignment horizontal="center" vertical="center"/>
    </xf>
    <xf numFmtId="0" fontId="23" fillId="0" borderId="47" xfId="1" applyFont="1" applyBorder="1"/>
    <xf numFmtId="0" fontId="23" fillId="0" borderId="47" xfId="1" applyFont="1" applyBorder="1" applyAlignment="1">
      <alignment horizontal="left"/>
    </xf>
    <xf numFmtId="0" fontId="34" fillId="0" borderId="47" xfId="1" applyFont="1" applyBorder="1"/>
    <xf numFmtId="9" fontId="23" fillId="0" borderId="47" xfId="1" applyNumberFormat="1" applyBorder="1" applyAlignment="1">
      <alignment horizontal="left"/>
    </xf>
    <xf numFmtId="0" fontId="28" fillId="18" borderId="47" xfId="1" applyFont="1" applyFill="1" applyBorder="1"/>
    <xf numFmtId="166" fontId="28" fillId="18" borderId="47" xfId="1" applyNumberFormat="1" applyFont="1" applyFill="1" applyBorder="1"/>
    <xf numFmtId="0" fontId="30" fillId="0" borderId="47" xfId="1" applyFont="1" applyBorder="1"/>
    <xf numFmtId="0" fontId="30" fillId="0" borderId="47" xfId="1" applyFont="1" applyBorder="1" applyAlignment="1">
      <alignment horizontal="left"/>
    </xf>
    <xf numFmtId="10" fontId="34" fillId="0" borderId="47" xfId="1" applyNumberFormat="1" applyFont="1" applyBorder="1"/>
    <xf numFmtId="0" fontId="31" fillId="18" borderId="47" xfId="1" applyFont="1" applyFill="1" applyBorder="1"/>
    <xf numFmtId="0" fontId="30" fillId="0" borderId="47" xfId="1" applyFont="1" applyBorder="1" applyAlignment="1">
      <alignment wrapText="1"/>
    </xf>
    <xf numFmtId="0" fontId="0" fillId="0" borderId="47" xfId="0" applyBorder="1"/>
    <xf numFmtId="166" fontId="31" fillId="18" borderId="47" xfId="1" applyNumberFormat="1" applyFont="1" applyFill="1" applyBorder="1"/>
    <xf numFmtId="0" fontId="30" fillId="0" borderId="47" xfId="1" applyFont="1" applyBorder="1" applyAlignment="1">
      <alignment horizontal="left" wrapText="1"/>
    </xf>
    <xf numFmtId="2" fontId="31" fillId="0" borderId="47" xfId="1" applyNumberFormat="1" applyFont="1" applyBorder="1"/>
    <xf numFmtId="0" fontId="28" fillId="18" borderId="47" xfId="0" applyFont="1" applyFill="1" applyBorder="1"/>
    <xf numFmtId="0" fontId="23" fillId="0" borderId="47" xfId="0" applyFont="1" applyBorder="1"/>
    <xf numFmtId="0" fontId="23" fillId="0" borderId="47" xfId="0" applyFont="1" applyBorder="1" applyAlignment="1">
      <alignment horizontal="left"/>
    </xf>
    <xf numFmtId="0" fontId="27" fillId="0" borderId="47" xfId="0" applyFont="1" applyBorder="1"/>
    <xf numFmtId="9" fontId="0" fillId="0" borderId="47" xfId="0" applyNumberFormat="1" applyBorder="1" applyAlignment="1">
      <alignment horizontal="left"/>
    </xf>
    <xf numFmtId="166" fontId="28" fillId="18" borderId="47" xfId="0" applyNumberFormat="1" applyFont="1" applyFill="1" applyBorder="1"/>
    <xf numFmtId="0" fontId="30" fillId="0" borderId="47" xfId="0" applyFont="1" applyBorder="1"/>
    <xf numFmtId="0" fontId="30" fillId="0" borderId="47" xfId="0" applyFont="1" applyBorder="1" applyAlignment="1">
      <alignment horizontal="left"/>
    </xf>
    <xf numFmtId="0" fontId="31" fillId="18" borderId="47" xfId="0" applyFont="1" applyFill="1" applyBorder="1"/>
    <xf numFmtId="0" fontId="30" fillId="0" borderId="47" xfId="0" applyFont="1" applyBorder="1" applyAlignment="1">
      <alignment wrapText="1"/>
    </xf>
    <xf numFmtId="2" fontId="31" fillId="18" borderId="47" xfId="0" applyNumberFormat="1" applyFont="1" applyFill="1" applyBorder="1"/>
    <xf numFmtId="10" fontId="31" fillId="18" borderId="47" xfId="0" applyNumberFormat="1" applyFont="1" applyFill="1" applyBorder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roundedCorners val="1"/>
  <c:chart>
    <c:autoTitleDeleted val="1"/>
    <c:plotArea>
      <c:layout/>
      <c:lineChart>
        <c:grouping val="standard"/>
        <c:ser>
          <c:idx val="0"/>
          <c:order val="0"/>
          <c:spPr>
            <a:ln w="28575" cmpd="sng">
              <a:solidFill>
                <a:srgbClr val="666699">
                  <a:alpha val="100000"/>
                </a:srgbClr>
              </a:solidFill>
            </a:ln>
          </c:spPr>
          <c:marker>
            <c:symbol val="none"/>
          </c:marker>
          <c:cat>
            <c:numRef>
              <c:f>'генер. спирт. пара'!$B$4:$B$23</c:f>
              <c:numCache>
                <c:formatCode>0.0</c:formatCode>
                <c:ptCount val="20"/>
                <c:pt idx="0" formatCode="0.00">
                  <c:v>97.17</c:v>
                </c:pt>
                <c:pt idx="1">
                  <c:v>75</c:v>
                </c:pt>
                <c:pt idx="2">
                  <c:v>40</c:v>
                </c:pt>
                <c:pt idx="3">
                  <c:v>28</c:v>
                </c:pt>
                <c:pt idx="4">
                  <c:v>27</c:v>
                </c:pt>
                <c:pt idx="5">
                  <c:v>26</c:v>
                </c:pt>
                <c:pt idx="6">
                  <c:v>25</c:v>
                </c:pt>
                <c:pt idx="7">
                  <c:v>24</c:v>
                </c:pt>
                <c:pt idx="8">
                  <c:v>23</c:v>
                </c:pt>
                <c:pt idx="9">
                  <c:v>22</c:v>
                </c:pt>
                <c:pt idx="10">
                  <c:v>21</c:v>
                </c:pt>
                <c:pt idx="11">
                  <c:v>20</c:v>
                </c:pt>
                <c:pt idx="12">
                  <c:v>19</c:v>
                </c:pt>
                <c:pt idx="13">
                  <c:v>18</c:v>
                </c:pt>
                <c:pt idx="14">
                  <c:v>17</c:v>
                </c:pt>
                <c:pt idx="15">
                  <c:v>16</c:v>
                </c:pt>
                <c:pt idx="16">
                  <c:v>15</c:v>
                </c:pt>
                <c:pt idx="17">
                  <c:v>14</c:v>
                </c:pt>
                <c:pt idx="18">
                  <c:v>13</c:v>
                </c:pt>
                <c:pt idx="19">
                  <c:v>12</c:v>
                </c:pt>
              </c:numCache>
            </c:numRef>
          </c:cat>
          <c:val>
            <c:numRef>
              <c:f>'генер. спирт. пара'!$E$4:$E$23</c:f>
              <c:numCache>
                <c:formatCode>0.0</c:formatCode>
                <c:ptCount val="20"/>
                <c:pt idx="0">
                  <c:v>78.05989144903107</c:v>
                </c:pt>
                <c:pt idx="1">
                  <c:v>80.441492187500003</c:v>
                </c:pt>
                <c:pt idx="2">
                  <c:v>84.142140800000007</c:v>
                </c:pt>
                <c:pt idx="3">
                  <c:v>86.276482342400001</c:v>
                </c:pt>
                <c:pt idx="4">
                  <c:v>86.504398019660016</c:v>
                </c:pt>
                <c:pt idx="5">
                  <c:v>86.742804545119995</c:v>
                </c:pt>
                <c:pt idx="6">
                  <c:v>86.992437499999994</c:v>
                </c:pt>
                <c:pt idx="7">
                  <c:v>87.254072867840009</c:v>
                </c:pt>
                <c:pt idx="8">
                  <c:v>87.528528187700019</c:v>
                </c:pt>
                <c:pt idx="9">
                  <c:v>87.816663707360007</c:v>
                </c:pt>
                <c:pt idx="10">
                  <c:v>88.119383536520004</c:v>
                </c:pt>
                <c:pt idx="11">
                  <c:v>88.437636799999993</c:v>
                </c:pt>
                <c:pt idx="12">
                  <c:v>88.772418790939994</c:v>
                </c:pt>
                <c:pt idx="13">
                  <c:v>89.124772123999989</c:v>
                </c:pt>
                <c:pt idx="14">
                  <c:v>89.495787888560002</c:v>
                </c:pt>
                <c:pt idx="15">
                  <c:v>89.88660680192001</c:v>
                </c:pt>
                <c:pt idx="16">
                  <c:v>90.298420362500011</c:v>
                </c:pt>
                <c:pt idx="17">
                  <c:v>90.732472003040002</c:v>
                </c:pt>
                <c:pt idx="18">
                  <c:v>91.190058243799996</c:v>
                </c:pt>
                <c:pt idx="19">
                  <c:v>91.67252984576001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DAD-CF49-96C3-518E28CAAA24}"/>
            </c:ext>
          </c:extLst>
        </c:ser>
        <c:marker val="1"/>
        <c:axId val="92682496"/>
        <c:axId val="94103040"/>
      </c:lineChart>
      <c:catAx>
        <c:axId val="92682496"/>
        <c:scaling>
          <c:orientation val="minMax"/>
        </c:scaling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ru-RU"/>
              </a:p>
            </c:rich>
          </c:tx>
          <c:layout/>
        </c:title>
        <c:numFmt formatCode="0.00" sourceLinked="1"/>
        <c:majorTickMark val="none"/>
        <c:tickLblPos val="nextTo"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ru-RU"/>
          </a:p>
        </c:txPr>
        <c:crossAx val="94103040"/>
        <c:crosses val="autoZero"/>
        <c:auto val="1"/>
        <c:lblAlgn val="ctr"/>
        <c:lblOffset val="100"/>
        <c:noMultiLvlLbl val="1"/>
      </c:catAx>
      <c:valAx>
        <c:axId val="94103040"/>
        <c:scaling>
          <c:orientation val="minMax"/>
          <c:min val="75"/>
        </c:scaling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ru-RU"/>
              </a:p>
            </c:rich>
          </c:tx>
          <c:layout/>
        </c:title>
        <c:numFmt formatCode="0.0" sourceLinked="1"/>
        <c:maj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ru-RU"/>
          </a:p>
        </c:txPr>
        <c:crossAx val="92682496"/>
        <c:crosses val="autoZero"/>
        <c:crossBetween val="between"/>
      </c:valAx>
    </c:plotArea>
    <c:legend>
      <c:legendPos val="r"/>
      <c:layout/>
      <c:txPr>
        <a:bodyPr/>
        <a:lstStyle/>
        <a:p>
          <a:pPr lvl="0">
            <a:defRPr b="0" i="0">
              <a:solidFill>
                <a:srgbClr val="1A1A1A"/>
              </a:solidFill>
              <a:latin typeface="+mn-lt"/>
            </a:defRPr>
          </a:pPr>
          <a:endParaRPr lang="ru-RU"/>
        </a:p>
      </c:txPr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roundedCorners val="1"/>
  <c:chart>
    <c:title>
      <c:tx>
        <c:rich>
          <a:bodyPr/>
          <a:lstStyle/>
          <a:p>
            <a:pPr lvl="0">
              <a:defRPr sz="1000" b="0" i="0">
                <a:solidFill>
                  <a:srgbClr val="000000"/>
                </a:solidFill>
                <a:latin typeface="+mn-lt"/>
              </a:defRPr>
            </a:pPr>
            <a:r>
              <a:rPr lang="ru-RU" sz="1000" b="0" i="0">
                <a:solidFill>
                  <a:srgbClr val="000000"/>
                </a:solidFill>
                <a:latin typeface="+mn-lt"/>
              </a:rPr>
              <a:t>Содержание 97,18
% спирта в отборе. 
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spPr>
            <a:ln w="28575" cmpd="sng">
              <a:solidFill>
                <a:srgbClr val="993366">
                  <a:alpha val="100000"/>
                </a:srgbClr>
              </a:solidFill>
            </a:ln>
          </c:spPr>
          <c:marker>
            <c:symbol val="none"/>
          </c:marker>
          <c:cat>
            <c:numRef>
              <c:f>'генер. спирт. пара'!$B$4:$B$23</c:f>
              <c:numCache>
                <c:formatCode>0.0</c:formatCode>
                <c:ptCount val="20"/>
                <c:pt idx="0" formatCode="0.00">
                  <c:v>97.17</c:v>
                </c:pt>
                <c:pt idx="1">
                  <c:v>75</c:v>
                </c:pt>
                <c:pt idx="2">
                  <c:v>40</c:v>
                </c:pt>
                <c:pt idx="3">
                  <c:v>28</c:v>
                </c:pt>
                <c:pt idx="4">
                  <c:v>27</c:v>
                </c:pt>
                <c:pt idx="5">
                  <c:v>26</c:v>
                </c:pt>
                <c:pt idx="6">
                  <c:v>25</c:v>
                </c:pt>
                <c:pt idx="7">
                  <c:v>24</c:v>
                </c:pt>
                <c:pt idx="8">
                  <c:v>23</c:v>
                </c:pt>
                <c:pt idx="9">
                  <c:v>22</c:v>
                </c:pt>
                <c:pt idx="10">
                  <c:v>21</c:v>
                </c:pt>
                <c:pt idx="11">
                  <c:v>20</c:v>
                </c:pt>
                <c:pt idx="12">
                  <c:v>19</c:v>
                </c:pt>
                <c:pt idx="13">
                  <c:v>18</c:v>
                </c:pt>
                <c:pt idx="14">
                  <c:v>17</c:v>
                </c:pt>
                <c:pt idx="15">
                  <c:v>16</c:v>
                </c:pt>
                <c:pt idx="16">
                  <c:v>15</c:v>
                </c:pt>
                <c:pt idx="17">
                  <c:v>14</c:v>
                </c:pt>
                <c:pt idx="18">
                  <c:v>13</c:v>
                </c:pt>
                <c:pt idx="19">
                  <c:v>12</c:v>
                </c:pt>
              </c:numCache>
            </c:numRef>
          </c:cat>
          <c:val>
            <c:numRef>
              <c:f>'генер. спирт. пара'!$Q$4:$Q$23</c:f>
              <c:numCache>
                <c:formatCode>0.00</c:formatCode>
                <c:ptCount val="20"/>
                <c:pt idx="0">
                  <c:v>5.0231185382762984</c:v>
                </c:pt>
                <c:pt idx="1">
                  <c:v>3.5907483782484855</c:v>
                </c:pt>
                <c:pt idx="2">
                  <c:v>2.8959925374595046</c:v>
                </c:pt>
                <c:pt idx="3">
                  <c:v>2.5316599124101025</c:v>
                </c:pt>
                <c:pt idx="4">
                  <c:v>2.4935090374402908</c:v>
                </c:pt>
                <c:pt idx="5">
                  <c:v>2.4539246409103357</c:v>
                </c:pt>
                <c:pt idx="6">
                  <c:v>2.4128311350088265</c:v>
                </c:pt>
                <c:pt idx="7">
                  <c:v>2.3701397858660727</c:v>
                </c:pt>
                <c:pt idx="8">
                  <c:v>1.6280219378972416</c:v>
                </c:pt>
                <c:pt idx="9">
                  <c:v>2.2795238420378894</c:v>
                </c:pt>
                <c:pt idx="10">
                  <c:v>2.2313255881591982</c:v>
                </c:pt>
                <c:pt idx="11">
                  <c:v>2.1809731579570744</c:v>
                </c:pt>
                <c:pt idx="12">
                  <c:v>2.1282544927252549</c:v>
                </c:pt>
                <c:pt idx="13">
                  <c:v>2.0729170078707564</c:v>
                </c:pt>
                <c:pt idx="14">
                  <c:v>2.0146607779232131</c:v>
                </c:pt>
                <c:pt idx="15">
                  <c:v>1.9531311902496151</c:v>
                </c:pt>
                <c:pt idx="16">
                  <c:v>1.8879112872181152</c:v>
                </c:pt>
                <c:pt idx="17">
                  <c:v>1.8185141733233925</c:v>
                </c:pt>
                <c:pt idx="18">
                  <c:v>1.7443760806007633</c:v>
                </c:pt>
                <c:pt idx="19">
                  <c:v>1.6648509742983388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B6D-7C49-A05B-5F74F9EA0C8C}"/>
            </c:ext>
          </c:extLst>
        </c:ser>
        <c:marker val="1"/>
        <c:axId val="88745472"/>
        <c:axId val="88747392"/>
      </c:lineChart>
      <c:catAx>
        <c:axId val="88745472"/>
        <c:scaling>
          <c:orientation val="minMax"/>
        </c:scaling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ru-RU"/>
              </a:p>
            </c:rich>
          </c:tx>
          <c:layout/>
        </c:title>
        <c:numFmt formatCode="0.00" sourceLinked="1"/>
        <c:majorTickMark val="none"/>
        <c:tickLblPos val="nextTo"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ru-RU"/>
          </a:p>
        </c:txPr>
        <c:crossAx val="88747392"/>
        <c:crosses val="autoZero"/>
        <c:auto val="1"/>
        <c:lblAlgn val="ctr"/>
        <c:lblOffset val="100"/>
        <c:noMultiLvlLbl val="1"/>
      </c:catAx>
      <c:valAx>
        <c:axId val="88747392"/>
        <c:scaling>
          <c:orientation val="minMax"/>
        </c:scaling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ru-RU"/>
              </a:p>
            </c:rich>
          </c:tx>
          <c:layout/>
        </c:title>
        <c:numFmt formatCode="0.00" sourceLinked="1"/>
        <c:maj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ru-RU"/>
          </a:p>
        </c:txPr>
        <c:crossAx val="88745472"/>
        <c:crosses val="autoZero"/>
        <c:crossBetween val="between"/>
      </c:valAx>
    </c:plotArea>
    <c:legend>
      <c:legendPos val="r"/>
      <c:layout/>
      <c:txPr>
        <a:bodyPr/>
        <a:lstStyle/>
        <a:p>
          <a:pPr lvl="0">
            <a:defRPr b="0" i="0">
              <a:solidFill>
                <a:srgbClr val="1A1A1A"/>
              </a:solidFill>
              <a:latin typeface="+mn-lt"/>
            </a:defRPr>
          </a:pPr>
          <a:endParaRPr lang="ru-RU"/>
        </a:p>
      </c:txPr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19050</xdr:colOff>
      <xdr:row>57</xdr:row>
      <xdr:rowOff>9525</xdr:rowOff>
    </xdr:from>
    <xdr:ext cx="5743575" cy="2790825"/>
    <xdr:graphicFrame macro="">
      <xdr:nvGraphicFramePr>
        <xdr:cNvPr id="2" name="Chart 1" descr="Chart 0">
          <a:extLst>
            <a:ext uri="{FF2B5EF4-FFF2-40B4-BE49-F238E27FC236}">
              <a16:creationId xmlns="" xmlns:a16="http://schemas.microsoft.com/office/drawing/2014/main" id="{00000000-0008-0000-0100-0000D3DB62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0</xdr:col>
      <xdr:colOff>95250</xdr:colOff>
      <xdr:row>56</xdr:row>
      <xdr:rowOff>142875</xdr:rowOff>
    </xdr:from>
    <xdr:ext cx="6010275" cy="2819400"/>
    <xdr:graphicFrame macro="">
      <xdr:nvGraphicFramePr>
        <xdr:cNvPr id="3" name="Chart 2" descr="Chart 1">
          <a:extLst>
            <a:ext uri="{FF2B5EF4-FFF2-40B4-BE49-F238E27FC236}">
              <a16:creationId xmlns="" xmlns:a16="http://schemas.microsoft.com/office/drawing/2014/main" id="{00000000-0008-0000-0100-00004FE586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73;&#1083;&#1080;&#1094;&#1072;%20&#1080;&#1089;&#1087;&#1072;&#1088;&#1077;&#1085;&#1080;&#11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еал. мощ."/>
      <sheetName val="генер. спирт. пара"/>
      <sheetName val="0пред. скорости отбора"/>
      <sheetName val="нагрев и испар. воды"/>
      <sheetName val="Смеш. воды"/>
      <sheetName val="Подключения"/>
      <sheetName val="точка росы"/>
      <sheetName val="Лист1"/>
      <sheetName val="Лист2"/>
    </sheetNames>
    <sheetDataSet>
      <sheetData sheetId="0">
        <row r="2">
          <cell r="A2">
            <v>1</v>
          </cell>
          <cell r="C2">
            <v>1</v>
          </cell>
          <cell r="E2">
            <v>230</v>
          </cell>
          <cell r="G2">
            <v>45119</v>
          </cell>
        </row>
        <row r="4">
          <cell r="O4">
            <v>1</v>
          </cell>
        </row>
      </sheetData>
      <sheetData sheetId="1"/>
      <sheetData sheetId="2">
        <row r="3">
          <cell r="C3">
            <v>36</v>
          </cell>
        </row>
      </sheetData>
      <sheetData sheetId="3">
        <row r="3">
          <cell r="A3">
            <v>20</v>
          </cell>
          <cell r="B3">
            <v>20</v>
          </cell>
          <cell r="C3">
            <v>5</v>
          </cell>
          <cell r="D3">
            <v>0</v>
          </cell>
        </row>
      </sheetData>
      <sheetData sheetId="4"/>
      <sheetData sheetId="5">
        <row r="8">
          <cell r="H8">
            <v>6</v>
          </cell>
        </row>
        <row r="9">
          <cell r="H9">
            <v>1</v>
          </cell>
        </row>
        <row r="10">
          <cell r="H10">
            <v>1</v>
          </cell>
        </row>
        <row r="11">
          <cell r="H11">
            <v>0</v>
          </cell>
        </row>
        <row r="25">
          <cell r="C25">
            <v>2</v>
          </cell>
        </row>
        <row r="26">
          <cell r="C26">
            <v>2</v>
          </cell>
        </row>
        <row r="27">
          <cell r="C27">
            <v>2</v>
          </cell>
        </row>
        <row r="28">
          <cell r="C28">
            <v>2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CCFF"/>
  </sheetPr>
  <dimension ref="A1:AJ1002"/>
  <sheetViews>
    <sheetView topLeftCell="A32" workbookViewId="0">
      <selection activeCell="P41" sqref="P41"/>
    </sheetView>
  </sheetViews>
  <sheetFormatPr defaultColWidth="14.42578125" defaultRowHeight="15" customHeight="1"/>
  <cols>
    <col min="1" max="1" width="11.7109375" style="3" customWidth="1"/>
    <col min="2" max="2" width="16.85546875" style="3" customWidth="1"/>
    <col min="3" max="3" width="12.5703125" style="3" customWidth="1"/>
    <col min="4" max="4" width="14" style="3" customWidth="1"/>
    <col min="5" max="5" width="13.5703125" style="3" customWidth="1"/>
    <col min="6" max="8" width="14" style="3" customWidth="1"/>
    <col min="9" max="10" width="12.28515625" style="3" customWidth="1"/>
    <col min="11" max="11" width="11.85546875" style="3" customWidth="1"/>
    <col min="12" max="12" width="9.140625" style="3" customWidth="1"/>
    <col min="13" max="13" width="12.85546875" style="3" customWidth="1"/>
    <col min="14" max="14" width="11.7109375" style="3" customWidth="1"/>
    <col min="15" max="15" width="9.140625" style="3" customWidth="1"/>
    <col min="16" max="16" width="11.7109375" style="3" customWidth="1"/>
    <col min="17" max="17" width="12.28515625" style="3" customWidth="1"/>
    <col min="18" max="18" width="6.7109375" style="3" customWidth="1"/>
    <col min="19" max="19" width="10.5703125" style="3" customWidth="1"/>
    <col min="20" max="20" width="15.85546875" style="3" customWidth="1"/>
    <col min="21" max="21" width="10.5703125" style="3" customWidth="1"/>
    <col min="22" max="22" width="12.85546875" style="3" customWidth="1"/>
    <col min="23" max="23" width="13.42578125" style="3" customWidth="1"/>
    <col min="24" max="24" width="15.7109375" style="3" customWidth="1"/>
    <col min="25" max="29" width="9.140625" style="3" customWidth="1"/>
    <col min="30" max="30" width="18.140625" style="3" customWidth="1"/>
    <col min="31" max="31" width="19.28515625" style="3" customWidth="1"/>
    <col min="32" max="36" width="9.140625" style="3" customWidth="1"/>
    <col min="37" max="16384" width="14.42578125" style="3"/>
  </cols>
  <sheetData>
    <row r="1" spans="1:35" ht="29.25" customHeight="1" thickBot="1">
      <c r="A1" s="138" t="s">
        <v>0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40"/>
      <c r="N1" s="1"/>
      <c r="O1" s="2"/>
      <c r="P1" s="141" t="s">
        <v>1</v>
      </c>
      <c r="Q1" s="142"/>
      <c r="S1" s="145" t="s">
        <v>2</v>
      </c>
      <c r="T1" s="139"/>
      <c r="U1" s="146" t="str">
        <f>TEXT(A4,"##0,000кВт")</f>
        <v>0,001кВт</v>
      </c>
      <c r="V1" s="140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</row>
    <row r="2" spans="1:35" ht="33" customHeight="1" thickBot="1">
      <c r="A2" s="147" t="s">
        <v>3</v>
      </c>
      <c r="B2" s="149" t="s">
        <v>4</v>
      </c>
      <c r="C2" s="150" t="s">
        <v>5</v>
      </c>
      <c r="D2" s="152" t="s">
        <v>6</v>
      </c>
      <c r="E2" s="154" t="s">
        <v>7</v>
      </c>
      <c r="F2" s="156" t="s">
        <v>8</v>
      </c>
      <c r="G2" s="150" t="s">
        <v>9</v>
      </c>
      <c r="H2" s="152" t="s">
        <v>10</v>
      </c>
      <c r="I2" s="160" t="s">
        <v>11</v>
      </c>
      <c r="J2" s="140"/>
      <c r="K2" s="5" t="s">
        <v>12</v>
      </c>
      <c r="L2" s="161" t="s">
        <v>13</v>
      </c>
      <c r="M2" s="139"/>
      <c r="N2" s="162" t="s">
        <v>14</v>
      </c>
      <c r="O2" s="163"/>
      <c r="P2" s="143"/>
      <c r="Q2" s="144"/>
      <c r="S2" s="164" t="s">
        <v>7</v>
      </c>
      <c r="T2" s="157" t="s">
        <v>15</v>
      </c>
      <c r="U2" s="159" t="s">
        <v>16</v>
      </c>
      <c r="V2" s="159" t="s">
        <v>17</v>
      </c>
      <c r="W2" s="6" t="s">
        <v>18</v>
      </c>
      <c r="X2" s="7"/>
      <c r="Y2" s="4"/>
      <c r="Z2" s="4"/>
      <c r="AA2" s="4"/>
      <c r="AB2" s="4" t="s">
        <v>19</v>
      </c>
      <c r="AC2" s="4" t="s">
        <v>20</v>
      </c>
      <c r="AD2" s="4" t="s">
        <v>21</v>
      </c>
      <c r="AE2" s="4" t="s">
        <v>22</v>
      </c>
      <c r="AF2" s="4" t="s">
        <v>23</v>
      </c>
      <c r="AG2" s="4" t="s">
        <v>24</v>
      </c>
      <c r="AH2" s="4" t="s">
        <v>25</v>
      </c>
      <c r="AI2" s="4" t="s">
        <v>26</v>
      </c>
    </row>
    <row r="3" spans="1:35" ht="15" customHeight="1" thickBot="1">
      <c r="A3" s="148"/>
      <c r="B3" s="148"/>
      <c r="C3" s="151"/>
      <c r="D3" s="153"/>
      <c r="E3" s="155"/>
      <c r="F3" s="155"/>
      <c r="G3" s="151"/>
      <c r="H3" s="153"/>
      <c r="I3" s="8" t="s">
        <v>27</v>
      </c>
      <c r="J3" s="9" t="s">
        <v>28</v>
      </c>
      <c r="K3" s="10" t="s">
        <v>29</v>
      </c>
      <c r="L3" s="11" t="s">
        <v>30</v>
      </c>
      <c r="M3" s="12" t="s">
        <v>31</v>
      </c>
      <c r="N3" s="13" t="s">
        <v>17</v>
      </c>
      <c r="O3" s="14" t="s">
        <v>16</v>
      </c>
      <c r="P3" s="15">
        <v>1</v>
      </c>
      <c r="Q3" s="16">
        <v>0.97170000000000001</v>
      </c>
      <c r="S3" s="158"/>
      <c r="T3" s="158"/>
      <c r="U3" s="158"/>
      <c r="V3" s="158"/>
      <c r="W3" s="4"/>
      <c r="X3" s="4">
        <v>10</v>
      </c>
      <c r="Y3" s="4">
        <v>3</v>
      </c>
      <c r="Z3" s="4">
        <f>F5/100</f>
        <v>0.86623269736151431</v>
      </c>
      <c r="AA3" s="4"/>
      <c r="AB3" s="4">
        <v>0</v>
      </c>
      <c r="AC3" s="4">
        <v>0</v>
      </c>
      <c r="AD3" s="4"/>
      <c r="AE3" s="4"/>
      <c r="AF3" s="4"/>
      <c r="AG3" s="4"/>
      <c r="AH3" s="4">
        <v>0.01</v>
      </c>
      <c r="AI3" s="4">
        <v>30</v>
      </c>
    </row>
    <row r="4" spans="1:35" ht="15" customHeight="1">
      <c r="A4" s="17">
        <f>Реал_Мощность</f>
        <v>1</v>
      </c>
      <c r="B4" s="18">
        <v>97.17</v>
      </c>
      <c r="C4" s="19">
        <f t="shared" ref="C4:C41" si="0">(-0.13412+0.83749*B4-0.00116*B4*B4+0.0000276728*B4*B4*B4)/100</f>
        <v>0.95681293653189181</v>
      </c>
      <c r="D4" s="20">
        <f t="shared" ref="D4:D41" si="1">((10000*C4)/(256-1.56*(C4*100))/100)</f>
        <v>0.89641952269184355</v>
      </c>
      <c r="E4" s="21">
        <f t="shared" ref="E4:E41" si="2">99.974-0.93136*B4+0.02395*B4*B4-0.000365956*B4^3+0.00000293273*B4^4-0.00000000961*B4^5</f>
        <v>78.05989144903107</v>
      </c>
      <c r="F4" s="22">
        <v>97.17</v>
      </c>
      <c r="G4" s="19">
        <f t="shared" ref="G4:G41" si="3">(-0.13412+0.83749*F4-0.00116*F4*F4+0.0000276728*F4*F4*F4)/100</f>
        <v>0.95681293653189181</v>
      </c>
      <c r="H4" s="20">
        <f t="shared" ref="H4:H41" si="4">((10000*G4)/(256-1.56*(G4*100))/100)</f>
        <v>0.89641952269184355</v>
      </c>
      <c r="I4" s="23">
        <f t="shared" ref="I4:I41" si="5">(A4*3600)/(G4*841.5+(1-G4)*2256)</f>
        <v>3.9885303106833283</v>
      </c>
      <c r="J4" s="24">
        <f t="shared" ref="J4:J41" si="6">I4/3.6</f>
        <v>1.1079250863009245</v>
      </c>
      <c r="K4" s="25">
        <f t="shared" ref="K4:K41" si="7">(((I4*(1-G4)/18)+(I4*G4/46))*8.314*10^6*(273.15+E4))/(760*133.3)</f>
        <v>2667.0165441315198</v>
      </c>
      <c r="L4" s="26">
        <f t="shared" ref="L4:L41" si="8">(I4/100*F4)/0.7893+I4/100*(100-F4)</f>
        <v>5.0231185382762984</v>
      </c>
      <c r="M4" s="27">
        <f t="shared" ref="M4:M41" si="9">L4/3.6</f>
        <v>1.3953107050767495</v>
      </c>
      <c r="N4" s="28">
        <v>0.89</v>
      </c>
      <c r="O4" s="29">
        <f t="shared" ref="O4:O41" si="10">(L4-N4)/N4</f>
        <v>4.6439534137935938</v>
      </c>
      <c r="P4" s="30">
        <f t="shared" ref="P4:P41" si="11">L4/100*F4</f>
        <v>4.8809642836430793</v>
      </c>
      <c r="Q4" s="31">
        <f t="shared" ref="Q4:Q41" si="12">L4/$F$4*F4</f>
        <v>5.0231185382762984</v>
      </c>
      <c r="S4" s="32">
        <f t="shared" ref="S4:S26" si="13">E4</f>
        <v>78.05989144903107</v>
      </c>
      <c r="T4" s="33">
        <f t="shared" ref="T4:T26" si="14">B4</f>
        <v>97.17</v>
      </c>
      <c r="U4" s="34">
        <f t="shared" ref="U4:U26" si="15">IF(B4=0,"перекрыт",32.0960539941*EXP(-B4/2.14402675871)+158.826556847*EXP(-B4/0.422530095547)+2.97156745471)</f>
        <v>2.9715674547100002</v>
      </c>
      <c r="V4" s="35">
        <f t="shared" ref="V4:V22" si="16">L$4/(1+U4)</f>
        <v>1.2647697906576489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</row>
    <row r="5" spans="1:35" ht="15" customHeight="1">
      <c r="A5" s="36">
        <v>1</v>
      </c>
      <c r="B5" s="37">
        <v>75</v>
      </c>
      <c r="C5" s="38">
        <f t="shared" si="0"/>
        <v>0.67827092499999997</v>
      </c>
      <c r="D5" s="39">
        <f t="shared" si="1"/>
        <v>0.45160937386215794</v>
      </c>
      <c r="E5" s="40">
        <f t="shared" si="2"/>
        <v>80.441492187500003</v>
      </c>
      <c r="F5" s="41">
        <f t="shared" ref="F5:F41" si="17">1.04749494522173*B5-0.018725730342732*B5*B5+0.00011082005414225*B5*B5*B5+43.670453012901*(1-EXP(-0.246196276366746*B5^0.966659341971092))*EXP(0.0638669100921283*B5^0.437695537197651)</f>
        <v>86.623269736151428</v>
      </c>
      <c r="G5" s="38">
        <f t="shared" si="3"/>
        <v>0.81694757594855683</v>
      </c>
      <c r="H5" s="39">
        <f t="shared" si="4"/>
        <v>0.63547904713102854</v>
      </c>
      <c r="I5" s="42">
        <f t="shared" si="5"/>
        <v>3.2714554087227206</v>
      </c>
      <c r="J5" s="43">
        <f t="shared" si="6"/>
        <v>0.90873761353408899</v>
      </c>
      <c r="K5" s="44">
        <f t="shared" si="7"/>
        <v>2651.3635516342879</v>
      </c>
      <c r="L5" s="42">
        <f t="shared" si="8"/>
        <v>4.0279363844977292</v>
      </c>
      <c r="M5" s="43">
        <f t="shared" si="9"/>
        <v>1.1188712179160358</v>
      </c>
      <c r="N5" s="45">
        <v>1</v>
      </c>
      <c r="O5" s="46">
        <f t="shared" si="10"/>
        <v>3.0279363844977292</v>
      </c>
      <c r="P5" s="47">
        <f t="shared" si="11"/>
        <v>3.4891301991440535</v>
      </c>
      <c r="Q5" s="48">
        <f t="shared" si="12"/>
        <v>3.5907483782484855</v>
      </c>
      <c r="S5" s="49">
        <f t="shared" si="13"/>
        <v>80.441492187500003</v>
      </c>
      <c r="T5" s="50">
        <f t="shared" si="14"/>
        <v>75</v>
      </c>
      <c r="U5" s="51">
        <f t="shared" si="15"/>
        <v>2.9715674547100206</v>
      </c>
      <c r="V5" s="52">
        <f t="shared" si="16"/>
        <v>1.2647697906576425</v>
      </c>
      <c r="W5" s="4">
        <v>1.2</v>
      </c>
      <c r="X5" s="4">
        <f>Y3-X3*B6/100-AB3+AC3*B6/100</f>
        <v>-1</v>
      </c>
      <c r="Y5" s="4">
        <f t="shared" ref="Y5:Y39" si="18">(F5-B5)/100</f>
        <v>0.11623269736151429</v>
      </c>
      <c r="Z5" s="4">
        <f t="shared" ref="Z5:Z39" si="19">X5/Y5</f>
        <v>-8.6034310714629356</v>
      </c>
      <c r="AA5" s="4">
        <f>Z5*Z3</f>
        <v>-7.4525733035972017</v>
      </c>
      <c r="AB5" s="4">
        <f>AA5+AB3</f>
        <v>-7.4525733035972017</v>
      </c>
      <c r="AC5" s="4">
        <f>Z5+AC3</f>
        <v>-8.6034310714629356</v>
      </c>
      <c r="AD5" s="4">
        <f>Y3-AB5</f>
        <v>10.452573303597202</v>
      </c>
      <c r="AE5" s="4">
        <f>X3-AC5</f>
        <v>18.603431071462936</v>
      </c>
      <c r="AF5" s="4">
        <f>W5*AH3</f>
        <v>1.2E-2</v>
      </c>
      <c r="AG5" s="4">
        <f>AF5*AB5</f>
        <v>-8.9430879643166428E-2</v>
      </c>
      <c r="AH5" s="4">
        <f t="shared" ref="AH5:AH39" si="20">AI5/AD5</f>
        <v>1.1425978672836944E-2</v>
      </c>
      <c r="AI5" s="4">
        <f>AI3/1000-AG5</f>
        <v>0.11943087964316643</v>
      </c>
    </row>
    <row r="6" spans="1:35" ht="15" customHeight="1">
      <c r="A6" s="36">
        <v>1</v>
      </c>
      <c r="B6" s="53">
        <v>40</v>
      </c>
      <c r="C6" s="54">
        <f t="shared" si="0"/>
        <v>0.33280539199999998</v>
      </c>
      <c r="D6" s="55">
        <f t="shared" si="1"/>
        <v>0.16307406180456419</v>
      </c>
      <c r="E6" s="56">
        <f t="shared" si="2"/>
        <v>84.142140800000007</v>
      </c>
      <c r="F6" s="57">
        <f t="shared" si="17"/>
        <v>79.220478890794155</v>
      </c>
      <c r="G6" s="54">
        <f t="shared" si="3"/>
        <v>0.72690535900275011</v>
      </c>
      <c r="H6" s="55">
        <f t="shared" si="4"/>
        <v>0.50974142340279371</v>
      </c>
      <c r="I6" s="58">
        <f t="shared" si="5"/>
        <v>2.9320918494608006</v>
      </c>
      <c r="J6" s="59">
        <f t="shared" si="6"/>
        <v>0.81446995818355572</v>
      </c>
      <c r="K6" s="60">
        <f t="shared" si="7"/>
        <v>2662.9782532151557</v>
      </c>
      <c r="L6" s="61">
        <f t="shared" si="8"/>
        <v>3.5521572048668926</v>
      </c>
      <c r="M6" s="62">
        <f t="shared" si="9"/>
        <v>0.98671033468524794</v>
      </c>
      <c r="N6" s="63">
        <v>1</v>
      </c>
      <c r="O6" s="64">
        <f t="shared" si="10"/>
        <v>2.5521572048668926</v>
      </c>
      <c r="P6" s="65">
        <f>L6/100*F6</f>
        <v>2.8140359486494</v>
      </c>
      <c r="Q6" s="66">
        <f t="shared" si="12"/>
        <v>2.8959925374595046</v>
      </c>
      <c r="S6" s="32">
        <f t="shared" si="13"/>
        <v>84.142140800000007</v>
      </c>
      <c r="T6" s="67">
        <f t="shared" si="14"/>
        <v>40</v>
      </c>
      <c r="U6" s="34">
        <f t="shared" si="15"/>
        <v>2.9715677082484175</v>
      </c>
      <c r="V6" s="35">
        <f t="shared" si="16"/>
        <v>1.2647697099168043</v>
      </c>
      <c r="W6" s="4">
        <v>1.25</v>
      </c>
      <c r="X6" s="4">
        <f t="shared" ref="X6:X36" si="21">$Y$3-$X$3*B7/100-AB5+AC5*B7/100</f>
        <v>5.2436126035875805</v>
      </c>
      <c r="Y6" s="4">
        <f t="shared" si="18"/>
        <v>0.39220478890794153</v>
      </c>
      <c r="Z6" s="4">
        <f t="shared" si="19"/>
        <v>13.369578220061875</v>
      </c>
      <c r="AA6" s="4">
        <f t="shared" ref="AA6:AA36" si="22">Z6*F7/100</f>
        <v>9.9511637459098949</v>
      </c>
      <c r="AB6" s="4">
        <f t="shared" ref="AB6:AB37" si="23">AA6+AB5</f>
        <v>2.4985904423126932</v>
      </c>
      <c r="AC6" s="4">
        <f t="shared" ref="AC6:AC37" si="24">Z6+AC5</f>
        <v>4.7661471485989395</v>
      </c>
      <c r="AD6" s="4">
        <f t="shared" ref="AD6:AD39" si="25">$Y$3-AB6</f>
        <v>0.50140955768730677</v>
      </c>
      <c r="AE6" s="4">
        <f t="shared" ref="AE6:AE39" si="26">$X$3-AC6</f>
        <v>5.2338528514010605</v>
      </c>
      <c r="AF6" s="4">
        <f t="shared" ref="AF6:AF37" si="27">W6*AH5</f>
        <v>1.428247334104618E-2</v>
      </c>
      <c r="AG6" s="4">
        <f t="shared" ref="AG6:AG39" si="28">AF6*AA6</f>
        <v>0.14212723091334331</v>
      </c>
      <c r="AH6" s="4">
        <f t="shared" si="20"/>
        <v>-4.5265095015063463E-2</v>
      </c>
      <c r="AI6" s="4">
        <f t="shared" ref="AI6:AI37" si="29">AI5-AG6</f>
        <v>-2.2696351270176884E-2</v>
      </c>
    </row>
    <row r="7" spans="1:35" ht="15" customHeight="1">
      <c r="A7" s="36">
        <f t="shared" ref="A7:A39" si="30">Реал_Мощность</f>
        <v>1</v>
      </c>
      <c r="B7" s="37">
        <v>28</v>
      </c>
      <c r="C7" s="38">
        <f t="shared" si="0"/>
        <v>0.23013633305599998</v>
      </c>
      <c r="D7" s="39">
        <f t="shared" si="1"/>
        <v>0.10456049924484023</v>
      </c>
      <c r="E7" s="40">
        <f t="shared" si="2"/>
        <v>86.276482342400001</v>
      </c>
      <c r="F7" s="41">
        <f t="shared" si="17"/>
        <v>74.431396279783613</v>
      </c>
      <c r="G7" s="38">
        <f t="shared" si="3"/>
        <v>0.67185936830356607</v>
      </c>
      <c r="H7" s="39">
        <f t="shared" si="4"/>
        <v>0.44438100496031224</v>
      </c>
      <c r="I7" s="42">
        <f t="shared" si="5"/>
        <v>2.7572369506747267</v>
      </c>
      <c r="J7" s="43">
        <f t="shared" si="6"/>
        <v>0.76589915296520183</v>
      </c>
      <c r="K7" s="44">
        <f t="shared" si="7"/>
        <v>2670.5232914030939</v>
      </c>
      <c r="L7" s="42">
        <f t="shared" si="8"/>
        <v>3.3050756264760057</v>
      </c>
      <c r="M7" s="43">
        <f t="shared" si="9"/>
        <v>0.91807656291000161</v>
      </c>
      <c r="N7" s="45">
        <v>2</v>
      </c>
      <c r="O7" s="46">
        <f t="shared" si="10"/>
        <v>0.65253781323800286</v>
      </c>
      <c r="P7" s="47">
        <f t="shared" si="11"/>
        <v>2.4600139368888962</v>
      </c>
      <c r="Q7" s="48">
        <f t="shared" si="12"/>
        <v>2.5316599124101025</v>
      </c>
      <c r="S7" s="49">
        <f t="shared" si="13"/>
        <v>86.276482342400001</v>
      </c>
      <c r="T7" s="50">
        <f t="shared" si="14"/>
        <v>28</v>
      </c>
      <c r="U7" s="51">
        <f t="shared" si="15"/>
        <v>2.9716358090564485</v>
      </c>
      <c r="V7" s="52">
        <f t="shared" si="16"/>
        <v>1.2647480231752803</v>
      </c>
      <c r="W7" s="4">
        <v>1.3</v>
      </c>
      <c r="X7" s="4">
        <f t="shared" si="21"/>
        <v>-0.9117307121909799</v>
      </c>
      <c r="Y7" s="4">
        <f t="shared" si="18"/>
        <v>0.4643139627978361</v>
      </c>
      <c r="Z7" s="4">
        <f t="shared" si="19"/>
        <v>-1.9636082160810455</v>
      </c>
      <c r="AA7" s="4">
        <f t="shared" si="22"/>
        <v>-1.4508267819324141</v>
      </c>
      <c r="AB7" s="4">
        <f t="shared" si="23"/>
        <v>1.0477636603802791</v>
      </c>
      <c r="AC7" s="4">
        <f t="shared" si="24"/>
        <v>2.8025389325178942</v>
      </c>
      <c r="AD7" s="4">
        <f t="shared" si="25"/>
        <v>1.9522363396197209</v>
      </c>
      <c r="AE7" s="4">
        <f t="shared" si="26"/>
        <v>7.1974610674821058</v>
      </c>
      <c r="AF7" s="4">
        <f t="shared" si="27"/>
        <v>-5.8844623519582501E-2</v>
      </c>
      <c r="AG7" s="4">
        <f t="shared" si="28"/>
        <v>8.5373355774940332E-2</v>
      </c>
      <c r="AH7" s="4">
        <f t="shared" si="20"/>
        <v>-5.5356877060370818E-2</v>
      </c>
      <c r="AI7" s="4">
        <f t="shared" si="29"/>
        <v>-0.10806970704511722</v>
      </c>
    </row>
    <row r="8" spans="1:35" ht="15" customHeight="1">
      <c r="A8" s="68">
        <f t="shared" si="30"/>
        <v>1</v>
      </c>
      <c r="B8" s="53">
        <v>27</v>
      </c>
      <c r="C8" s="54">
        <f t="shared" si="0"/>
        <v>0.221771537224</v>
      </c>
      <c r="D8" s="55">
        <f t="shared" si="1"/>
        <v>0.10016616575527991</v>
      </c>
      <c r="E8" s="56">
        <f t="shared" si="2"/>
        <v>86.504398019660016</v>
      </c>
      <c r="F8" s="57">
        <f t="shared" si="17"/>
        <v>73.885756336259547</v>
      </c>
      <c r="G8" s="54">
        <f t="shared" si="3"/>
        <v>0.66573726962970459</v>
      </c>
      <c r="H8" s="55">
        <f t="shared" si="4"/>
        <v>0.43756766976337957</v>
      </c>
      <c r="I8" s="58">
        <f t="shared" si="5"/>
        <v>2.7390701678668035</v>
      </c>
      <c r="J8" s="59">
        <f t="shared" si="6"/>
        <v>0.76085282440744539</v>
      </c>
      <c r="K8" s="60">
        <f t="shared" si="7"/>
        <v>2671.3472916342525</v>
      </c>
      <c r="L8" s="61">
        <f t="shared" si="8"/>
        <v>3.2793096421098253</v>
      </c>
      <c r="M8" s="62">
        <f t="shared" si="9"/>
        <v>0.91091934503050698</v>
      </c>
      <c r="N8" s="63">
        <v>1</v>
      </c>
      <c r="O8" s="64">
        <f t="shared" si="10"/>
        <v>2.2793096421098253</v>
      </c>
      <c r="P8" s="65">
        <f t="shared" si="11"/>
        <v>2.4229427316807306</v>
      </c>
      <c r="Q8" s="66">
        <f t="shared" si="12"/>
        <v>2.4935090374402908</v>
      </c>
      <c r="S8" s="32">
        <f t="shared" si="13"/>
        <v>86.504398019660016</v>
      </c>
      <c r="T8" s="67">
        <f t="shared" si="14"/>
        <v>27</v>
      </c>
      <c r="U8" s="34">
        <f t="shared" si="15"/>
        <v>2.9716764295730571</v>
      </c>
      <c r="V8" s="35">
        <f t="shared" si="16"/>
        <v>1.2647350879024826</v>
      </c>
      <c r="W8" s="4">
        <v>1.35</v>
      </c>
      <c r="X8" s="4">
        <f t="shared" si="21"/>
        <v>8.0896462074373177E-2</v>
      </c>
      <c r="Y8" s="4">
        <f t="shared" si="18"/>
        <v>0.46885756336259549</v>
      </c>
      <c r="Z8" s="4">
        <f t="shared" si="19"/>
        <v>0.17253952670442713</v>
      </c>
      <c r="AA8" s="4">
        <f t="shared" si="22"/>
        <v>0.12648868607840005</v>
      </c>
      <c r="AB8" s="4">
        <f t="shared" si="23"/>
        <v>1.1742523464586792</v>
      </c>
      <c r="AC8" s="4">
        <f t="shared" si="24"/>
        <v>2.9750784592223214</v>
      </c>
      <c r="AD8" s="4">
        <f t="shared" si="25"/>
        <v>1.8257476535413208</v>
      </c>
      <c r="AE8" s="4">
        <f t="shared" si="26"/>
        <v>7.0249215407776786</v>
      </c>
      <c r="AF8" s="4">
        <f t="shared" si="27"/>
        <v>-7.4731784031500603E-2</v>
      </c>
      <c r="AG8" s="4">
        <f t="shared" si="28"/>
        <v>-9.452725170439269E-3</v>
      </c>
      <c r="AH8" s="4">
        <f t="shared" si="20"/>
        <v>-5.4014574075116575E-2</v>
      </c>
      <c r="AI8" s="4">
        <f t="shared" si="29"/>
        <v>-9.8616981874677948E-2</v>
      </c>
    </row>
    <row r="9" spans="1:35" ht="15" customHeight="1">
      <c r="A9" s="36">
        <f t="shared" si="30"/>
        <v>1</v>
      </c>
      <c r="B9" s="37">
        <v>26</v>
      </c>
      <c r="C9" s="38">
        <f t="shared" si="0"/>
        <v>0.21342837132799999</v>
      </c>
      <c r="D9" s="39">
        <f t="shared" si="1"/>
        <v>9.5834491594794222E-2</v>
      </c>
      <c r="E9" s="40">
        <f t="shared" si="2"/>
        <v>86.742804545119995</v>
      </c>
      <c r="F9" s="41">
        <f t="shared" si="17"/>
        <v>73.309976267110343</v>
      </c>
      <c r="G9" s="38">
        <f t="shared" si="3"/>
        <v>0.65930910823099875</v>
      </c>
      <c r="H9" s="39">
        <f t="shared" si="4"/>
        <v>0.43050517091192492</v>
      </c>
      <c r="I9" s="42">
        <f t="shared" si="5"/>
        <v>2.7202510454496562</v>
      </c>
      <c r="J9" s="43">
        <f t="shared" si="6"/>
        <v>0.75562529040268223</v>
      </c>
      <c r="K9" s="44">
        <f t="shared" si="7"/>
        <v>2672.2168462442805</v>
      </c>
      <c r="L9" s="42">
        <f t="shared" si="8"/>
        <v>3.2525976613122181</v>
      </c>
      <c r="M9" s="43">
        <f t="shared" si="9"/>
        <v>0.90349935036450502</v>
      </c>
      <c r="N9" s="45">
        <v>1</v>
      </c>
      <c r="O9" s="46">
        <f t="shared" si="10"/>
        <v>2.2525976613122181</v>
      </c>
      <c r="P9" s="47">
        <f t="shared" si="11"/>
        <v>2.3844785735725731</v>
      </c>
      <c r="Q9" s="48">
        <f t="shared" si="12"/>
        <v>2.4539246409103357</v>
      </c>
      <c r="S9" s="49">
        <f t="shared" si="13"/>
        <v>86.742804545119995</v>
      </c>
      <c r="T9" s="50">
        <f t="shared" si="14"/>
        <v>26</v>
      </c>
      <c r="U9" s="51">
        <f t="shared" si="15"/>
        <v>2.9717411893939722</v>
      </c>
      <c r="V9" s="52">
        <f t="shared" si="16"/>
        <v>1.2647144662119212</v>
      </c>
      <c r="W9" s="4">
        <v>1.4</v>
      </c>
      <c r="X9" s="4">
        <f t="shared" si="21"/>
        <v>6.9517268346901195E-2</v>
      </c>
      <c r="Y9" s="4">
        <f t="shared" si="18"/>
        <v>0.47309976267110343</v>
      </c>
      <c r="Z9" s="4">
        <f t="shared" si="19"/>
        <v>0.14693997721412777</v>
      </c>
      <c r="AA9" s="4">
        <f t="shared" si="22"/>
        <v>0.10682773240822191</v>
      </c>
      <c r="AB9" s="4">
        <f t="shared" si="23"/>
        <v>1.281080078866901</v>
      </c>
      <c r="AC9" s="4">
        <f t="shared" si="24"/>
        <v>3.1220184364364494</v>
      </c>
      <c r="AD9" s="4">
        <f t="shared" si="25"/>
        <v>1.718919921133099</v>
      </c>
      <c r="AE9" s="4">
        <f t="shared" si="26"/>
        <v>6.8779815635635506</v>
      </c>
      <c r="AF9" s="4">
        <f t="shared" si="27"/>
        <v>-7.5620403705163194E-2</v>
      </c>
      <c r="AG9" s="4">
        <f t="shared" si="28"/>
        <v>-8.0783562516168871E-3</v>
      </c>
      <c r="AH9" s="4">
        <f t="shared" si="20"/>
        <v>-5.2671811240269227E-2</v>
      </c>
      <c r="AI9" s="4">
        <f t="shared" si="29"/>
        <v>-9.0538625623061059E-2</v>
      </c>
    </row>
    <row r="10" spans="1:35" ht="15" customHeight="1">
      <c r="A10" s="68">
        <f t="shared" si="30"/>
        <v>1</v>
      </c>
      <c r="B10" s="53">
        <v>25</v>
      </c>
      <c r="C10" s="54">
        <f t="shared" si="0"/>
        <v>0.205105175</v>
      </c>
      <c r="D10" s="55">
        <f t="shared" si="1"/>
        <v>9.1563341698135195E-2</v>
      </c>
      <c r="E10" s="56">
        <f t="shared" si="2"/>
        <v>86.992437499999994</v>
      </c>
      <c r="F10" s="57">
        <f t="shared" si="17"/>
        <v>72.701612204926079</v>
      </c>
      <c r="G10" s="54">
        <f t="shared" si="3"/>
        <v>0.6525526509983014</v>
      </c>
      <c r="H10" s="55">
        <f t="shared" si="4"/>
        <v>0.42318099293496919</v>
      </c>
      <c r="I10" s="58">
        <f t="shared" si="5"/>
        <v>2.7007475497121192</v>
      </c>
      <c r="J10" s="59">
        <f t="shared" si="6"/>
        <v>0.75020765269781087</v>
      </c>
      <c r="K10" s="60">
        <f t="shared" si="7"/>
        <v>2673.1357390397693</v>
      </c>
      <c r="L10" s="61">
        <f t="shared" si="8"/>
        <v>3.2248913645538333</v>
      </c>
      <c r="M10" s="62">
        <f t="shared" si="9"/>
        <v>0.89580315682050926</v>
      </c>
      <c r="N10" s="63">
        <v>1</v>
      </c>
      <c r="O10" s="64">
        <f t="shared" si="10"/>
        <v>2.2248913645538333</v>
      </c>
      <c r="P10" s="65">
        <f t="shared" si="11"/>
        <v>2.344548013888077</v>
      </c>
      <c r="Q10" s="66">
        <f t="shared" si="12"/>
        <v>2.4128311350088265</v>
      </c>
      <c r="S10" s="32">
        <f t="shared" si="13"/>
        <v>86.992437499999994</v>
      </c>
      <c r="T10" s="67">
        <f t="shared" si="14"/>
        <v>25</v>
      </c>
      <c r="U10" s="34">
        <f t="shared" si="15"/>
        <v>2.9718444336349381</v>
      </c>
      <c r="V10" s="35">
        <f t="shared" si="16"/>
        <v>1.2646815911869083</v>
      </c>
      <c r="W10" s="4">
        <v>1.45</v>
      </c>
      <c r="X10" s="4">
        <f t="shared" si="21"/>
        <v>6.8204345877846961E-2</v>
      </c>
      <c r="Y10" s="4">
        <f t="shared" si="18"/>
        <v>0.4770161220492608</v>
      </c>
      <c r="Z10" s="4">
        <f t="shared" si="19"/>
        <v>0.14298121745831391</v>
      </c>
      <c r="AA10" s="4">
        <f t="shared" si="22"/>
        <v>0.10302916773894819</v>
      </c>
      <c r="AB10" s="4">
        <f t="shared" si="23"/>
        <v>1.3841092466058491</v>
      </c>
      <c r="AC10" s="4">
        <f t="shared" si="24"/>
        <v>3.2649996538947632</v>
      </c>
      <c r="AD10" s="4">
        <f t="shared" si="25"/>
        <v>1.6158907533941509</v>
      </c>
      <c r="AE10" s="4">
        <f t="shared" si="26"/>
        <v>6.7350003461052363</v>
      </c>
      <c r="AF10" s="4">
        <f t="shared" si="27"/>
        <v>-7.6374126298390382E-2</v>
      </c>
      <c r="AG10" s="4">
        <f t="shared" si="28"/>
        <v>-7.8687626693124766E-3</v>
      </c>
      <c r="AH10" s="4">
        <f t="shared" si="20"/>
        <v>-5.1160552023768902E-2</v>
      </c>
      <c r="AI10" s="4">
        <f t="shared" si="29"/>
        <v>-8.2669862953748577E-2</v>
      </c>
    </row>
    <row r="11" spans="1:35" ht="15" customHeight="1">
      <c r="A11" s="36">
        <f t="shared" si="30"/>
        <v>1</v>
      </c>
      <c r="B11" s="37">
        <v>24</v>
      </c>
      <c r="C11" s="38">
        <f t="shared" si="0"/>
        <v>0.19680028787200002</v>
      </c>
      <c r="D11" s="39">
        <f t="shared" si="1"/>
        <v>8.7350655084199216E-2</v>
      </c>
      <c r="E11" s="40">
        <f t="shared" si="2"/>
        <v>87.254072867840009</v>
      </c>
      <c r="F11" s="41">
        <f t="shared" si="17"/>
        <v>72.057833588517511</v>
      </c>
      <c r="G11" s="38">
        <f t="shared" si="3"/>
        <v>0.64544217592086339</v>
      </c>
      <c r="H11" s="39">
        <f t="shared" si="4"/>
        <v>0.41558040994695761</v>
      </c>
      <c r="I11" s="42">
        <f t="shared" si="5"/>
        <v>2.6805219028350695</v>
      </c>
      <c r="J11" s="43">
        <f t="shared" si="6"/>
        <v>0.74458941745418594</v>
      </c>
      <c r="K11" s="44">
        <f t="shared" si="7"/>
        <v>2674.1077603322387</v>
      </c>
      <c r="L11" s="42">
        <f t="shared" si="8"/>
        <v>3.1961338764048808</v>
      </c>
      <c r="M11" s="43">
        <f t="shared" si="9"/>
        <v>0.88781496566802243</v>
      </c>
      <c r="N11" s="45">
        <v>1</v>
      </c>
      <c r="O11" s="46">
        <f t="shared" si="10"/>
        <v>2.1961338764048808</v>
      </c>
      <c r="P11" s="47">
        <f t="shared" si="11"/>
        <v>2.303064829926063</v>
      </c>
      <c r="Q11" s="48">
        <f t="shared" si="12"/>
        <v>2.3701397858660727</v>
      </c>
      <c r="S11" s="49">
        <f t="shared" si="13"/>
        <v>87.254072867840009</v>
      </c>
      <c r="T11" s="50">
        <f t="shared" si="14"/>
        <v>24</v>
      </c>
      <c r="U11" s="51">
        <f t="shared" si="15"/>
        <v>2.9720090321953121</v>
      </c>
      <c r="V11" s="52">
        <f t="shared" si="16"/>
        <v>1.2646291832574315</v>
      </c>
      <c r="W11" s="4">
        <v>1.5</v>
      </c>
      <c r="X11" s="4">
        <f t="shared" si="21"/>
        <v>6.6840673789946625E-2</v>
      </c>
      <c r="Y11" s="4">
        <f t="shared" si="18"/>
        <v>0.48057833588517512</v>
      </c>
      <c r="Z11" s="4">
        <f t="shared" si="19"/>
        <v>0.13908382629615021</v>
      </c>
      <c r="AA11" s="4">
        <f t="shared" si="22"/>
        <v>9.9271544827976899E-2</v>
      </c>
      <c r="AB11" s="4">
        <f t="shared" si="23"/>
        <v>1.483380791433826</v>
      </c>
      <c r="AC11" s="4">
        <f t="shared" si="24"/>
        <v>3.4040834801909132</v>
      </c>
      <c r="AD11" s="4">
        <f t="shared" si="25"/>
        <v>1.516619208566174</v>
      </c>
      <c r="AE11" s="4">
        <f t="shared" si="26"/>
        <v>6.5959165198090872</v>
      </c>
      <c r="AF11" s="4">
        <f t="shared" si="27"/>
        <v>-7.6740828035653352E-2</v>
      </c>
      <c r="AG11" s="4">
        <f t="shared" si="28"/>
        <v>-7.618180550477428E-3</v>
      </c>
      <c r="AH11" s="4">
        <f t="shared" si="20"/>
        <v>-4.9486174235011643E-2</v>
      </c>
      <c r="AI11" s="4">
        <f t="shared" si="29"/>
        <v>-7.5051682403271147E-2</v>
      </c>
    </row>
    <row r="12" spans="1:35" ht="15" customHeight="1">
      <c r="A12" s="69">
        <v>0.7</v>
      </c>
      <c r="B12" s="53">
        <v>23</v>
      </c>
      <c r="C12" s="70">
        <f t="shared" si="0"/>
        <v>0.18851204957599996</v>
      </c>
      <c r="D12" s="71">
        <f t="shared" si="1"/>
        <v>8.3194441781374806E-2</v>
      </c>
      <c r="E12" s="72">
        <f t="shared" si="2"/>
        <v>87.528528187700019</v>
      </c>
      <c r="F12" s="73">
        <f t="shared" si="17"/>
        <v>71.375333474503861</v>
      </c>
      <c r="G12" s="70">
        <f t="shared" si="3"/>
        <v>0.63794766497652278</v>
      </c>
      <c r="H12" s="71">
        <f t="shared" si="4"/>
        <v>0.40768596325193518</v>
      </c>
      <c r="I12" s="74">
        <f t="shared" si="5"/>
        <v>1.861670456306292</v>
      </c>
      <c r="J12" s="75">
        <f t="shared" si="6"/>
        <v>0.5171306823073033</v>
      </c>
      <c r="K12" s="76">
        <f t="shared" si="7"/>
        <v>1872.5956532135642</v>
      </c>
      <c r="L12" s="77">
        <f t="shared" si="8"/>
        <v>2.2163804217038665</v>
      </c>
      <c r="M12" s="75">
        <f t="shared" si="9"/>
        <v>0.61566122825107406</v>
      </c>
      <c r="N12" s="78">
        <v>0.6</v>
      </c>
      <c r="O12" s="75">
        <f t="shared" si="10"/>
        <v>2.6939673695064443</v>
      </c>
      <c r="P12" s="79">
        <f t="shared" si="11"/>
        <v>1.5819489170547496</v>
      </c>
      <c r="Q12" s="80">
        <f t="shared" si="12"/>
        <v>1.6280219378972416</v>
      </c>
      <c r="R12" s="81"/>
      <c r="S12" s="82">
        <f t="shared" si="13"/>
        <v>87.528528187700019</v>
      </c>
      <c r="T12" s="83">
        <f t="shared" si="14"/>
        <v>23</v>
      </c>
      <c r="U12" s="83">
        <f t="shared" si="15"/>
        <v>2.9722714457287327</v>
      </c>
      <c r="V12" s="84">
        <f t="shared" si="16"/>
        <v>1.264545640172076</v>
      </c>
      <c r="W12" s="4">
        <v>1.55</v>
      </c>
      <c r="X12" s="4">
        <f t="shared" si="21"/>
        <v>6.5517574208174834E-2</v>
      </c>
      <c r="Y12" s="4">
        <f t="shared" si="18"/>
        <v>0.48375333474503862</v>
      </c>
      <c r="Z12" s="4">
        <f t="shared" si="19"/>
        <v>0.13543591227687507</v>
      </c>
      <c r="AA12" s="4">
        <f t="shared" si="22"/>
        <v>9.568576657270654E-2</v>
      </c>
      <c r="AB12" s="4">
        <f t="shared" si="23"/>
        <v>1.5790665580065324</v>
      </c>
      <c r="AC12" s="4">
        <f t="shared" si="24"/>
        <v>3.5395193924677884</v>
      </c>
      <c r="AD12" s="4">
        <f t="shared" si="25"/>
        <v>1.4209334419934676</v>
      </c>
      <c r="AE12" s="4">
        <f t="shared" si="26"/>
        <v>6.4604806075322116</v>
      </c>
      <c r="AF12" s="4">
        <f t="shared" si="27"/>
        <v>-7.6703570064268048E-2</v>
      </c>
      <c r="AG12" s="4">
        <f t="shared" si="28"/>
        <v>-7.3394399004627934E-3</v>
      </c>
      <c r="AH12" s="4">
        <f t="shared" si="20"/>
        <v>-4.7653352719894425E-2</v>
      </c>
      <c r="AI12" s="4">
        <f t="shared" si="29"/>
        <v>-6.7712242502808356E-2</v>
      </c>
    </row>
    <row r="13" spans="1:35" ht="15" customHeight="1">
      <c r="A13" s="36">
        <f t="shared" si="30"/>
        <v>1</v>
      </c>
      <c r="B13" s="37">
        <v>22</v>
      </c>
      <c r="C13" s="38">
        <f t="shared" si="0"/>
        <v>0.18023879974399995</v>
      </c>
      <c r="D13" s="39">
        <f t="shared" si="1"/>
        <v>7.9092779917308911E-2</v>
      </c>
      <c r="E13" s="40">
        <f t="shared" si="2"/>
        <v>87.816663707360007</v>
      </c>
      <c r="F13" s="41">
        <f t="shared" si="17"/>
        <v>70.650217482268445</v>
      </c>
      <c r="G13" s="38">
        <f t="shared" si="3"/>
        <v>0.63003381885469345</v>
      </c>
      <c r="H13" s="39">
        <f t="shared" si="4"/>
        <v>0.39947685405794792</v>
      </c>
      <c r="I13" s="42">
        <f t="shared" si="5"/>
        <v>2.6377159497907265</v>
      </c>
      <c r="J13" s="43">
        <f t="shared" si="6"/>
        <v>0.73269887494186847</v>
      </c>
      <c r="K13" s="44">
        <f t="shared" si="7"/>
        <v>2676.2260142248442</v>
      </c>
      <c r="L13" s="42">
        <f t="shared" si="8"/>
        <v>3.1351825885944851</v>
      </c>
      <c r="M13" s="43">
        <f t="shared" si="9"/>
        <v>0.87088405238735689</v>
      </c>
      <c r="N13" s="45">
        <v>0.68</v>
      </c>
      <c r="O13" s="46">
        <f t="shared" si="10"/>
        <v>3.6105626302860068</v>
      </c>
      <c r="P13" s="47">
        <f t="shared" si="11"/>
        <v>2.2150133173082174</v>
      </c>
      <c r="Q13" s="48">
        <f t="shared" si="12"/>
        <v>2.2795238420378894</v>
      </c>
      <c r="S13" s="49">
        <f t="shared" si="13"/>
        <v>87.816663707360007</v>
      </c>
      <c r="T13" s="50">
        <f t="shared" si="14"/>
        <v>22</v>
      </c>
      <c r="U13" s="51">
        <f t="shared" si="15"/>
        <v>2.9726898021369887</v>
      </c>
      <c r="V13" s="85">
        <f t="shared" si="16"/>
        <v>1.2644124732754778</v>
      </c>
      <c r="W13" s="4">
        <v>1.6</v>
      </c>
      <c r="X13" s="4">
        <f t="shared" si="21"/>
        <v>6.4232514411702968E-2</v>
      </c>
      <c r="Y13" s="4">
        <f t="shared" si="18"/>
        <v>0.48650217482268443</v>
      </c>
      <c r="Z13" s="4">
        <f t="shared" si="19"/>
        <v>0.13202924413465122</v>
      </c>
      <c r="AA13" s="4">
        <f t="shared" si="22"/>
        <v>9.2259218535457085E-2</v>
      </c>
      <c r="AB13" s="4">
        <f t="shared" si="23"/>
        <v>1.6713257765419895</v>
      </c>
      <c r="AC13" s="4">
        <f t="shared" si="24"/>
        <v>3.6715486366024397</v>
      </c>
      <c r="AD13" s="4">
        <f t="shared" si="25"/>
        <v>1.3286742234580105</v>
      </c>
      <c r="AE13" s="4">
        <f t="shared" si="26"/>
        <v>6.3284513633975603</v>
      </c>
      <c r="AF13" s="4">
        <f t="shared" si="27"/>
        <v>-7.6245364351831088E-2</v>
      </c>
      <c r="AG13" s="4">
        <f t="shared" si="28"/>
        <v>-7.034337732051134E-3</v>
      </c>
      <c r="AH13" s="4">
        <f t="shared" si="20"/>
        <v>-4.5668007777585069E-2</v>
      </c>
      <c r="AI13" s="4">
        <f t="shared" si="29"/>
        <v>-6.067790477075722E-2</v>
      </c>
    </row>
    <row r="14" spans="1:35" ht="15" customHeight="1">
      <c r="A14" s="68">
        <f t="shared" si="30"/>
        <v>1</v>
      </c>
      <c r="B14" s="53">
        <v>21</v>
      </c>
      <c r="C14" s="54">
        <f t="shared" si="0"/>
        <v>0.17197887800799999</v>
      </c>
      <c r="D14" s="55">
        <f t="shared" si="1"/>
        <v>7.5043812963103654E-2</v>
      </c>
      <c r="E14" s="56">
        <f t="shared" si="2"/>
        <v>88.119383536520004</v>
      </c>
      <c r="F14" s="57">
        <f t="shared" si="17"/>
        <v>69.877866180439298</v>
      </c>
      <c r="G14" s="54">
        <f t="shared" si="3"/>
        <v>0.62165885575064739</v>
      </c>
      <c r="H14" s="55">
        <f t="shared" si="4"/>
        <v>0.39092824316354635</v>
      </c>
      <c r="I14" s="58">
        <f t="shared" si="5"/>
        <v>2.6150180295076972</v>
      </c>
      <c r="J14" s="59">
        <f t="shared" si="6"/>
        <v>0.72639389708547142</v>
      </c>
      <c r="K14" s="60">
        <f t="shared" si="7"/>
        <v>2677.3792684247628</v>
      </c>
      <c r="L14" s="61">
        <f t="shared" si="8"/>
        <v>3.1028123675322314</v>
      </c>
      <c r="M14" s="62">
        <f t="shared" si="9"/>
        <v>0.86189232431450868</v>
      </c>
      <c r="N14" s="63">
        <v>1</v>
      </c>
      <c r="O14" s="64">
        <f t="shared" si="10"/>
        <v>2.1028123675322314</v>
      </c>
      <c r="P14" s="65">
        <f t="shared" si="11"/>
        <v>2.1681790740142928</v>
      </c>
      <c r="Q14" s="66">
        <f t="shared" si="12"/>
        <v>2.2313255881591982</v>
      </c>
      <c r="S14" s="32">
        <f t="shared" si="13"/>
        <v>88.119383536520004</v>
      </c>
      <c r="T14" s="67">
        <f t="shared" si="14"/>
        <v>21</v>
      </c>
      <c r="U14" s="34">
        <f t="shared" si="15"/>
        <v>2.9733567726321741</v>
      </c>
      <c r="V14" s="35">
        <f t="shared" si="16"/>
        <v>1.2642002280979927</v>
      </c>
      <c r="W14" s="4">
        <v>1.65</v>
      </c>
      <c r="X14" s="4">
        <f t="shared" si="21"/>
        <v>6.2983950778498277E-2</v>
      </c>
      <c r="Y14" s="4">
        <f t="shared" si="18"/>
        <v>0.488778661804393</v>
      </c>
      <c r="Z14" s="4">
        <f t="shared" si="19"/>
        <v>0.12885986173370262</v>
      </c>
      <c r="AA14" s="4">
        <f t="shared" si="22"/>
        <v>8.8981296772615334E-2</v>
      </c>
      <c r="AB14" s="4">
        <f t="shared" si="23"/>
        <v>1.7603070733146049</v>
      </c>
      <c r="AC14" s="4">
        <f t="shared" si="24"/>
        <v>3.8004084983361421</v>
      </c>
      <c r="AD14" s="4">
        <f t="shared" si="25"/>
        <v>1.2396929266853951</v>
      </c>
      <c r="AE14" s="4">
        <f t="shared" si="26"/>
        <v>6.1995915016638579</v>
      </c>
      <c r="AF14" s="4">
        <f t="shared" si="27"/>
        <v>-7.5352212833015367E-2</v>
      </c>
      <c r="AG14" s="4">
        <f t="shared" si="28"/>
        <v>-6.7049376125678144E-3</v>
      </c>
      <c r="AH14" s="4">
        <f t="shared" si="20"/>
        <v>-4.3537368001686172E-2</v>
      </c>
      <c r="AI14" s="4">
        <f t="shared" si="29"/>
        <v>-5.3972967158189403E-2</v>
      </c>
    </row>
    <row r="15" spans="1:35" ht="15" customHeight="1">
      <c r="A15" s="36">
        <f t="shared" si="30"/>
        <v>1</v>
      </c>
      <c r="B15" s="37">
        <v>20</v>
      </c>
      <c r="C15" s="38">
        <f t="shared" si="0"/>
        <v>0.16373062400000002</v>
      </c>
      <c r="D15" s="39">
        <f t="shared" si="1"/>
        <v>7.1045747122632119E-2</v>
      </c>
      <c r="E15" s="40">
        <f t="shared" si="2"/>
        <v>88.437636799999993</v>
      </c>
      <c r="F15" s="41">
        <f t="shared" si="17"/>
        <v>69.052764433738901</v>
      </c>
      <c r="G15" s="38">
        <f t="shared" si="3"/>
        <v>0.6127730490699782</v>
      </c>
      <c r="H15" s="39">
        <f t="shared" si="4"/>
        <v>0.38201045118324067</v>
      </c>
      <c r="I15" s="42">
        <f t="shared" si="5"/>
        <v>2.5913588566028696</v>
      </c>
      <c r="J15" s="43">
        <f t="shared" si="6"/>
        <v>0.7198219046119082</v>
      </c>
      <c r="K15" s="44">
        <f t="shared" si="7"/>
        <v>2678.5995162023905</v>
      </c>
      <c r="L15" s="42">
        <f t="shared" si="8"/>
        <v>3.0690322610045011</v>
      </c>
      <c r="M15" s="43">
        <f t="shared" si="9"/>
        <v>0.85250896139013921</v>
      </c>
      <c r="N15" s="45">
        <v>0.6</v>
      </c>
      <c r="O15" s="46">
        <f t="shared" si="10"/>
        <v>4.115053768340835</v>
      </c>
      <c r="P15" s="47">
        <f t="shared" si="11"/>
        <v>2.119251617586889</v>
      </c>
      <c r="Q15" s="48">
        <f t="shared" si="12"/>
        <v>2.1809731579570744</v>
      </c>
      <c r="S15" s="49">
        <f t="shared" si="13"/>
        <v>88.437636799999993</v>
      </c>
      <c r="T15" s="50">
        <f t="shared" si="14"/>
        <v>20</v>
      </c>
      <c r="U15" s="51">
        <f t="shared" si="15"/>
        <v>2.9744200995770216</v>
      </c>
      <c r="V15" s="85">
        <f t="shared" si="16"/>
        <v>1.2638620006000083</v>
      </c>
      <c r="W15" s="4">
        <v>1.7</v>
      </c>
      <c r="X15" s="4">
        <f t="shared" si="21"/>
        <v>6.17705413692623E-2</v>
      </c>
      <c r="Y15" s="4">
        <f t="shared" si="18"/>
        <v>0.49052764433738899</v>
      </c>
      <c r="Z15" s="4">
        <f t="shared" si="19"/>
        <v>0.12592672825341522</v>
      </c>
      <c r="AA15" s="4">
        <f t="shared" si="22"/>
        <v>8.5842096812109331E-2</v>
      </c>
      <c r="AB15" s="4">
        <f t="shared" si="23"/>
        <v>1.8461491701267143</v>
      </c>
      <c r="AC15" s="4">
        <f t="shared" si="24"/>
        <v>3.9263352265895572</v>
      </c>
      <c r="AD15" s="4">
        <f t="shared" si="25"/>
        <v>1.1538508298732857</v>
      </c>
      <c r="AE15" s="4">
        <f t="shared" si="26"/>
        <v>6.0736647734104423</v>
      </c>
      <c r="AF15" s="4">
        <f t="shared" si="27"/>
        <v>-7.401352560286649E-2</v>
      </c>
      <c r="AG15" s="4">
        <f t="shared" si="28"/>
        <v>-6.3534762302067975E-3</v>
      </c>
      <c r="AH15" s="4">
        <f t="shared" si="20"/>
        <v>-4.1270058221661216E-2</v>
      </c>
      <c r="AI15" s="4">
        <f t="shared" si="29"/>
        <v>-4.7619490927982608E-2</v>
      </c>
    </row>
    <row r="16" spans="1:35" ht="15" customHeight="1">
      <c r="A16" s="68">
        <f t="shared" si="30"/>
        <v>1</v>
      </c>
      <c r="B16" s="53">
        <v>19</v>
      </c>
      <c r="C16" s="54">
        <f t="shared" si="0"/>
        <v>0.155492377352</v>
      </c>
      <c r="D16" s="55">
        <f t="shared" si="1"/>
        <v>6.7096848858286026E-2</v>
      </c>
      <c r="E16" s="56">
        <f t="shared" si="2"/>
        <v>88.772418790939994</v>
      </c>
      <c r="F16" s="57">
        <f t="shared" si="17"/>
        <v>68.168289609939279</v>
      </c>
      <c r="G16" s="54">
        <f t="shared" si="3"/>
        <v>0.60331695030946209</v>
      </c>
      <c r="H16" s="55">
        <f t="shared" si="4"/>
        <v>0.37268805617002826</v>
      </c>
      <c r="I16" s="58">
        <f t="shared" si="5"/>
        <v>2.5666469562054708</v>
      </c>
      <c r="J16" s="59">
        <f t="shared" si="6"/>
        <v>0.71295748783485302</v>
      </c>
      <c r="K16" s="60">
        <f t="shared" si="7"/>
        <v>2679.8894531901151</v>
      </c>
      <c r="L16" s="61">
        <f t="shared" si="8"/>
        <v>3.0337051177525827</v>
      </c>
      <c r="M16" s="62">
        <f t="shared" si="9"/>
        <v>0.842695866042384</v>
      </c>
      <c r="N16" s="63">
        <v>1</v>
      </c>
      <c r="O16" s="64">
        <f t="shared" si="10"/>
        <v>2.0337051177525827</v>
      </c>
      <c r="P16" s="65">
        <f t="shared" si="11"/>
        <v>2.06802489058113</v>
      </c>
      <c r="Q16" s="66">
        <f t="shared" si="12"/>
        <v>2.1282544927252549</v>
      </c>
      <c r="S16" s="32">
        <f t="shared" si="13"/>
        <v>88.772418790939994</v>
      </c>
      <c r="T16" s="67">
        <f t="shared" si="14"/>
        <v>19</v>
      </c>
      <c r="U16" s="34">
        <f t="shared" si="15"/>
        <v>2.9761153232785191</v>
      </c>
      <c r="V16" s="35">
        <f t="shared" si="16"/>
        <v>1.2633231508321718</v>
      </c>
      <c r="W16" s="4">
        <v>1.75</v>
      </c>
      <c r="X16" s="4">
        <f t="shared" si="21"/>
        <v>6.0591170659405891E-2</v>
      </c>
      <c r="Y16" s="4">
        <f t="shared" si="18"/>
        <v>0.49168289609939281</v>
      </c>
      <c r="Z16" s="4">
        <f t="shared" si="19"/>
        <v>0.12323221153325922</v>
      </c>
      <c r="AA16" s="4">
        <f t="shared" si="22"/>
        <v>8.2832316012336052E-2</v>
      </c>
      <c r="AB16" s="4">
        <f t="shared" si="23"/>
        <v>1.9289814861390504</v>
      </c>
      <c r="AC16" s="4">
        <f t="shared" si="24"/>
        <v>4.0495674381228168</v>
      </c>
      <c r="AD16" s="4">
        <f t="shared" si="25"/>
        <v>1.0710185138609496</v>
      </c>
      <c r="AE16" s="4">
        <f t="shared" si="26"/>
        <v>5.9504325618771832</v>
      </c>
      <c r="AF16" s="4">
        <f t="shared" si="27"/>
        <v>-7.2222601887907134E-2</v>
      </c>
      <c r="AG16" s="4">
        <f t="shared" si="28"/>
        <v>-5.9823653828122618E-3</v>
      </c>
      <c r="AH16" s="4">
        <f t="shared" si="20"/>
        <v>-3.8876195888595158E-2</v>
      </c>
      <c r="AI16" s="4">
        <f t="shared" si="29"/>
        <v>-4.1637125545170343E-2</v>
      </c>
    </row>
    <row r="17" spans="1:36" ht="15" customHeight="1">
      <c r="A17" s="36">
        <f t="shared" si="30"/>
        <v>1</v>
      </c>
      <c r="B17" s="37">
        <v>18</v>
      </c>
      <c r="C17" s="38">
        <f t="shared" si="0"/>
        <v>0.14726247769599998</v>
      </c>
      <c r="D17" s="39">
        <f t="shared" si="1"/>
        <v>6.3195442545044694E-2</v>
      </c>
      <c r="E17" s="40">
        <f t="shared" si="2"/>
        <v>89.124772123999989</v>
      </c>
      <c r="F17" s="41">
        <f t="shared" si="17"/>
        <v>67.216448509471391</v>
      </c>
      <c r="G17" s="38">
        <f t="shared" si="3"/>
        <v>0.59321923356248174</v>
      </c>
      <c r="H17" s="39">
        <f t="shared" si="4"/>
        <v>0.36291889108007724</v>
      </c>
      <c r="I17" s="42">
        <f t="shared" si="5"/>
        <v>2.540773424783886</v>
      </c>
      <c r="J17" s="43">
        <f t="shared" si="6"/>
        <v>0.7057703957733017</v>
      </c>
      <c r="K17" s="44">
        <f t="shared" si="7"/>
        <v>2681.2512424721531</v>
      </c>
      <c r="L17" s="42">
        <f t="shared" si="8"/>
        <v>2.9966674842455978</v>
      </c>
      <c r="M17" s="43">
        <f t="shared" si="9"/>
        <v>0.83240763451266608</v>
      </c>
      <c r="N17" s="45">
        <v>1</v>
      </c>
      <c r="O17" s="46">
        <f t="shared" si="10"/>
        <v>1.9966674842455978</v>
      </c>
      <c r="P17" s="47">
        <f t="shared" si="11"/>
        <v>2.0142534565480141</v>
      </c>
      <c r="Q17" s="48">
        <f t="shared" si="12"/>
        <v>2.0729170078707564</v>
      </c>
      <c r="S17" s="49">
        <f t="shared" si="13"/>
        <v>89.124772123999989</v>
      </c>
      <c r="T17" s="50">
        <f t="shared" si="14"/>
        <v>18</v>
      </c>
      <c r="U17" s="51">
        <f t="shared" si="15"/>
        <v>2.9788179571316777</v>
      </c>
      <c r="V17" s="85">
        <f t="shared" si="16"/>
        <v>1.262465031674245</v>
      </c>
      <c r="W17" s="4">
        <v>1.8</v>
      </c>
      <c r="X17" s="4">
        <f t="shared" si="21"/>
        <v>5.9444978341828492E-2</v>
      </c>
      <c r="Y17" s="4">
        <f t="shared" si="18"/>
        <v>0.49216448509471389</v>
      </c>
      <c r="Z17" s="4">
        <f t="shared" si="19"/>
        <v>0.12078274670791958</v>
      </c>
      <c r="AA17" s="4">
        <f t="shared" si="22"/>
        <v>7.9943141244561478E-2</v>
      </c>
      <c r="AB17" s="4">
        <f t="shared" si="23"/>
        <v>2.0089246273836121</v>
      </c>
      <c r="AC17" s="4">
        <f t="shared" si="24"/>
        <v>4.1703501848307365</v>
      </c>
      <c r="AD17" s="4">
        <f t="shared" si="25"/>
        <v>0.9910753726163879</v>
      </c>
      <c r="AE17" s="4">
        <f t="shared" si="26"/>
        <v>5.8296498151692635</v>
      </c>
      <c r="AF17" s="4">
        <f t="shared" si="27"/>
        <v>-6.9977152599471293E-2</v>
      </c>
      <c r="AG17" s="4">
        <f t="shared" si="28"/>
        <v>-5.5941933941517658E-3</v>
      </c>
      <c r="AH17" s="4">
        <f t="shared" si="20"/>
        <v>-3.6367498524221317E-2</v>
      </c>
      <c r="AI17" s="4">
        <f t="shared" si="29"/>
        <v>-3.6042932151018579E-2</v>
      </c>
    </row>
    <row r="18" spans="1:36" ht="15" customHeight="1">
      <c r="A18" s="68">
        <f t="shared" si="30"/>
        <v>1</v>
      </c>
      <c r="B18" s="53">
        <v>17</v>
      </c>
      <c r="C18" s="54">
        <f t="shared" si="0"/>
        <v>0.13903926466399999</v>
      </c>
      <c r="D18" s="55">
        <f t="shared" si="1"/>
        <v>5.9339908245289313E-2</v>
      </c>
      <c r="E18" s="56">
        <f t="shared" si="2"/>
        <v>89.495787888560002</v>
      </c>
      <c r="F18" s="57">
        <f t="shared" si="17"/>
        <v>66.187550311206579</v>
      </c>
      <c r="G18" s="54">
        <f t="shared" si="3"/>
        <v>0.58239408698870887</v>
      </c>
      <c r="H18" s="55">
        <f t="shared" si="4"/>
        <v>0.3526529523117311</v>
      </c>
      <c r="I18" s="58">
        <f t="shared" si="5"/>
        <v>2.5136091618568557</v>
      </c>
      <c r="J18" s="59">
        <f t="shared" si="6"/>
        <v>0.69822476718245985</v>
      </c>
      <c r="K18" s="60">
        <f t="shared" si="7"/>
        <v>2682.6863808498638</v>
      </c>
      <c r="L18" s="61">
        <f t="shared" si="8"/>
        <v>2.957725234886849</v>
      </c>
      <c r="M18" s="62">
        <f t="shared" si="9"/>
        <v>0.8215903430241247</v>
      </c>
      <c r="N18" s="63">
        <v>1</v>
      </c>
      <c r="O18" s="64">
        <f t="shared" si="10"/>
        <v>1.957725234886849</v>
      </c>
      <c r="P18" s="65">
        <f t="shared" si="11"/>
        <v>1.9576458779079862</v>
      </c>
      <c r="Q18" s="66">
        <f t="shared" si="12"/>
        <v>2.0146607779232131</v>
      </c>
      <c r="S18" s="32">
        <f t="shared" si="13"/>
        <v>89.495787888560002</v>
      </c>
      <c r="T18" s="67">
        <f t="shared" si="14"/>
        <v>17</v>
      </c>
      <c r="U18" s="34">
        <f t="shared" si="15"/>
        <v>2.9831266685647377</v>
      </c>
      <c r="V18" s="86">
        <f t="shared" si="16"/>
        <v>1.2610993714860459</v>
      </c>
      <c r="W18" s="4">
        <v>1.85</v>
      </c>
      <c r="X18" s="4">
        <f t="shared" si="21"/>
        <v>5.8331402189305659E-2</v>
      </c>
      <c r="Y18" s="4">
        <f t="shared" si="18"/>
        <v>0.49187550311206579</v>
      </c>
      <c r="Z18" s="4">
        <f t="shared" si="19"/>
        <v>0.11858976879362053</v>
      </c>
      <c r="AA18" s="4">
        <f t="shared" si="22"/>
        <v>7.7166124875723649E-2</v>
      </c>
      <c r="AB18" s="4">
        <f t="shared" si="23"/>
        <v>2.0860907522593357</v>
      </c>
      <c r="AC18" s="4">
        <f t="shared" si="24"/>
        <v>4.2889399536243573</v>
      </c>
      <c r="AD18" s="4">
        <f t="shared" si="25"/>
        <v>0.91390924774066429</v>
      </c>
      <c r="AE18" s="4">
        <f t="shared" si="26"/>
        <v>5.7110600463756427</v>
      </c>
      <c r="AF18" s="4">
        <f t="shared" si="27"/>
        <v>-6.7279872269809443E-2</v>
      </c>
      <c r="AG18" s="4">
        <f t="shared" si="28"/>
        <v>-5.1917270251948524E-3</v>
      </c>
      <c r="AH18" s="4">
        <f t="shared" si="20"/>
        <v>-3.3757405565260488E-2</v>
      </c>
      <c r="AI18" s="4">
        <f t="shared" si="29"/>
        <v>-3.0851205125823726E-2</v>
      </c>
    </row>
    <row r="19" spans="1:36" ht="15" customHeight="1">
      <c r="A19" s="36">
        <f t="shared" si="30"/>
        <v>1</v>
      </c>
      <c r="B19" s="37">
        <v>16</v>
      </c>
      <c r="C19" s="38">
        <f t="shared" si="0"/>
        <v>0.13082107788800001</v>
      </c>
      <c r="D19" s="39">
        <f t="shared" si="1"/>
        <v>5.552867959728016E-2</v>
      </c>
      <c r="E19" s="40">
        <f t="shared" si="2"/>
        <v>89.88660680192001</v>
      </c>
      <c r="F19" s="41">
        <f t="shared" si="17"/>
        <v>65.069799579434502</v>
      </c>
      <c r="G19" s="38">
        <f t="shared" si="3"/>
        <v>0.57073806415017492</v>
      </c>
      <c r="H19" s="39">
        <f t="shared" si="4"/>
        <v>0.34183124361553607</v>
      </c>
      <c r="I19" s="42">
        <f t="shared" si="5"/>
        <v>2.4850019634793989</v>
      </c>
      <c r="J19" s="43">
        <f t="shared" si="6"/>
        <v>0.69027832318872195</v>
      </c>
      <c r="K19" s="44">
        <f t="shared" si="7"/>
        <v>2684.195556483372</v>
      </c>
      <c r="L19" s="42">
        <f t="shared" si="8"/>
        <v>2.9166488752569855</v>
      </c>
      <c r="M19" s="43">
        <f t="shared" si="9"/>
        <v>0.81018024312694037</v>
      </c>
      <c r="N19" s="45">
        <v>0.56999999999999995</v>
      </c>
      <c r="O19" s="46">
        <f t="shared" si="10"/>
        <v>4.116927851328045</v>
      </c>
      <c r="P19" s="47">
        <f t="shared" si="11"/>
        <v>1.8978575775655511</v>
      </c>
      <c r="Q19" s="48">
        <f t="shared" si="12"/>
        <v>1.9531311902496151</v>
      </c>
      <c r="S19" s="49">
        <f t="shared" si="13"/>
        <v>89.88660680192001</v>
      </c>
      <c r="T19" s="50">
        <f t="shared" si="14"/>
        <v>16</v>
      </c>
      <c r="U19" s="51">
        <f t="shared" si="15"/>
        <v>2.9899958914125535</v>
      </c>
      <c r="V19" s="85">
        <f t="shared" si="16"/>
        <v>1.258928248294009</v>
      </c>
      <c r="W19" s="4">
        <v>1.9</v>
      </c>
      <c r="X19" s="4">
        <f t="shared" si="21"/>
        <v>5.7250240784317952E-2</v>
      </c>
      <c r="Y19" s="4">
        <f t="shared" si="18"/>
        <v>0.49069799579434503</v>
      </c>
      <c r="Z19" s="4">
        <f t="shared" si="19"/>
        <v>0.11667103039954524</v>
      </c>
      <c r="AA19" s="4">
        <f t="shared" si="22"/>
        <v>7.4493040322501244E-2</v>
      </c>
      <c r="AB19" s="4">
        <f t="shared" si="23"/>
        <v>2.160583792581837</v>
      </c>
      <c r="AC19" s="4">
        <f t="shared" si="24"/>
        <v>4.4056109840239026</v>
      </c>
      <c r="AD19" s="4">
        <f t="shared" si="25"/>
        <v>0.83941620741816303</v>
      </c>
      <c r="AE19" s="4">
        <f t="shared" si="26"/>
        <v>5.5943890159760974</v>
      </c>
      <c r="AF19" s="4">
        <f t="shared" si="27"/>
        <v>-6.4139070573994927E-2</v>
      </c>
      <c r="AG19" s="4">
        <f t="shared" si="28"/>
        <v>-4.7779143705163575E-3</v>
      </c>
      <c r="AH19" s="4">
        <f t="shared" si="20"/>
        <v>-3.106121912454177E-2</v>
      </c>
      <c r="AI19" s="4">
        <f t="shared" si="29"/>
        <v>-2.6073290755307368E-2</v>
      </c>
    </row>
    <row r="20" spans="1:36" ht="15" customHeight="1">
      <c r="A20" s="68">
        <f t="shared" si="30"/>
        <v>1</v>
      </c>
      <c r="B20" s="53">
        <v>15</v>
      </c>
      <c r="C20" s="54">
        <f t="shared" si="0"/>
        <v>0.122606257</v>
      </c>
      <c r="D20" s="55">
        <f t="shared" si="1"/>
        <v>5.1760241810672444E-2</v>
      </c>
      <c r="E20" s="56">
        <f t="shared" si="2"/>
        <v>90.298420362500011</v>
      </c>
      <c r="F20" s="57">
        <f t="shared" si="17"/>
        <v>63.848789255907363</v>
      </c>
      <c r="G20" s="54">
        <f t="shared" si="3"/>
        <v>0.55812629423394755</v>
      </c>
      <c r="H20" s="55">
        <f t="shared" si="4"/>
        <v>0.33038459815730503</v>
      </c>
      <c r="I20" s="58">
        <f t="shared" si="5"/>
        <v>2.4547735976228595</v>
      </c>
      <c r="J20" s="59">
        <f t="shared" si="6"/>
        <v>0.68188155489523872</v>
      </c>
      <c r="K20" s="60">
        <f t="shared" si="7"/>
        <v>2685.7785033818063</v>
      </c>
      <c r="L20" s="61">
        <f t="shared" si="8"/>
        <v>2.8731686523250932</v>
      </c>
      <c r="M20" s="62">
        <f t="shared" si="9"/>
        <v>0.79810240342363703</v>
      </c>
      <c r="N20" s="63">
        <v>1</v>
      </c>
      <c r="O20" s="64">
        <f t="shared" si="10"/>
        <v>1.8731686523250932</v>
      </c>
      <c r="P20" s="65">
        <f t="shared" si="11"/>
        <v>1.8344833977898425</v>
      </c>
      <c r="Q20" s="66">
        <f t="shared" si="12"/>
        <v>1.8879112872181152</v>
      </c>
      <c r="S20" s="32">
        <f t="shared" si="13"/>
        <v>90.298420362500011</v>
      </c>
      <c r="T20" s="67">
        <f t="shared" si="14"/>
        <v>15</v>
      </c>
      <c r="U20" s="34">
        <f t="shared" si="15"/>
        <v>3.000947245028641</v>
      </c>
      <c r="V20" s="86">
        <f t="shared" si="16"/>
        <v>1.2554823222220068</v>
      </c>
      <c r="W20" s="4">
        <v>1.95</v>
      </c>
      <c r="X20" s="4">
        <f t="shared" si="21"/>
        <v>5.6201745181509555E-2</v>
      </c>
      <c r="Y20" s="4">
        <f t="shared" si="18"/>
        <v>0.48848789255907366</v>
      </c>
      <c r="Z20" s="4">
        <f t="shared" si="19"/>
        <v>0.11505248346500827</v>
      </c>
      <c r="AA20" s="4">
        <f t="shared" si="22"/>
        <v>7.1915704328364929E-2</v>
      </c>
      <c r="AB20" s="4">
        <f t="shared" si="23"/>
        <v>2.2324994969102021</v>
      </c>
      <c r="AC20" s="4">
        <f t="shared" si="24"/>
        <v>4.5206634674889106</v>
      </c>
      <c r="AD20" s="4">
        <f t="shared" si="25"/>
        <v>0.76750050308979789</v>
      </c>
      <c r="AE20" s="4">
        <f t="shared" si="26"/>
        <v>5.4793365325110894</v>
      </c>
      <c r="AF20" s="4">
        <f t="shared" si="27"/>
        <v>-6.0569377292856448E-2</v>
      </c>
      <c r="AG20" s="4">
        <f t="shared" si="28"/>
        <v>-4.355889428746245E-3</v>
      </c>
      <c r="AH20" s="4">
        <f t="shared" si="20"/>
        <v>-2.8296269825402547E-2</v>
      </c>
      <c r="AI20" s="4">
        <f t="shared" si="29"/>
        <v>-2.1717401326561123E-2</v>
      </c>
    </row>
    <row r="21" spans="1:36" ht="15" customHeight="1">
      <c r="A21" s="36">
        <f t="shared" si="30"/>
        <v>1</v>
      </c>
      <c r="B21" s="37">
        <v>14</v>
      </c>
      <c r="C21" s="38">
        <f t="shared" si="0"/>
        <v>0.11439314163199998</v>
      </c>
      <c r="D21" s="39">
        <f t="shared" si="1"/>
        <v>4.8033129762870275E-2</v>
      </c>
      <c r="E21" s="40">
        <f t="shared" si="2"/>
        <v>90.732472003040002</v>
      </c>
      <c r="F21" s="41">
        <f t="shared" si="17"/>
        <v>62.506868311310427</v>
      </c>
      <c r="G21" s="38">
        <f t="shared" si="3"/>
        <v>0.54440793443422197</v>
      </c>
      <c r="H21" s="39">
        <f t="shared" si="4"/>
        <v>0.31823254635825982</v>
      </c>
      <c r="I21" s="42">
        <f t="shared" si="5"/>
        <v>2.4227170477481397</v>
      </c>
      <c r="J21" s="43">
        <f t="shared" si="6"/>
        <v>0.67297695770781651</v>
      </c>
      <c r="K21" s="44">
        <f t="shared" si="7"/>
        <v>2687.4338614280209</v>
      </c>
      <c r="L21" s="42">
        <f t="shared" si="8"/>
        <v>2.8269696914228515</v>
      </c>
      <c r="M21" s="43">
        <f t="shared" si="9"/>
        <v>0.78526935872856984</v>
      </c>
      <c r="N21" s="45">
        <v>1</v>
      </c>
      <c r="O21" s="46">
        <f t="shared" si="10"/>
        <v>1.8269696914228515</v>
      </c>
      <c r="P21" s="47">
        <f t="shared" si="11"/>
        <v>1.7670502222183406</v>
      </c>
      <c r="Q21" s="48">
        <f t="shared" si="12"/>
        <v>1.8185141733233925</v>
      </c>
      <c r="S21" s="49">
        <f t="shared" si="13"/>
        <v>90.732472003040002</v>
      </c>
      <c r="T21" s="50">
        <f t="shared" si="14"/>
        <v>14</v>
      </c>
      <c r="U21" s="51">
        <f t="shared" si="15"/>
        <v>3.0184065921315879</v>
      </c>
      <c r="V21" s="85">
        <f t="shared" si="16"/>
        <v>1.2500274482209017</v>
      </c>
      <c r="W21" s="4">
        <v>2</v>
      </c>
      <c r="X21" s="4">
        <f t="shared" si="21"/>
        <v>5.5186753863356253E-2</v>
      </c>
      <c r="Y21" s="4">
        <f t="shared" si="18"/>
        <v>0.48506868311310425</v>
      </c>
      <c r="Z21" s="4">
        <f t="shared" si="19"/>
        <v>0.11377100972418017</v>
      </c>
      <c r="AA21" s="4">
        <f t="shared" si="22"/>
        <v>6.942574603846173E-2</v>
      </c>
      <c r="AB21" s="4">
        <f t="shared" si="23"/>
        <v>2.3019252429486636</v>
      </c>
      <c r="AC21" s="4">
        <f t="shared" si="24"/>
        <v>4.634434477213091</v>
      </c>
      <c r="AD21" s="4">
        <f t="shared" si="25"/>
        <v>0.69807475705133637</v>
      </c>
      <c r="AE21" s="4">
        <f t="shared" si="26"/>
        <v>5.365565522786909</v>
      </c>
      <c r="AF21" s="4">
        <f t="shared" si="27"/>
        <v>-5.6592539650805095E-2</v>
      </c>
      <c r="AG21" s="4">
        <f t="shared" si="28"/>
        <v>-3.9289792854683703E-3</v>
      </c>
      <c r="AH21" s="4">
        <f t="shared" si="20"/>
        <v>-2.5482116150755747E-2</v>
      </c>
      <c r="AI21" s="4">
        <f t="shared" si="29"/>
        <v>-1.7788422041092752E-2</v>
      </c>
    </row>
    <row r="22" spans="1:36" ht="15" customHeight="1">
      <c r="A22" s="68">
        <f t="shared" si="30"/>
        <v>1</v>
      </c>
      <c r="B22" s="53">
        <v>13</v>
      </c>
      <c r="C22" s="54">
        <f t="shared" si="0"/>
        <v>0.106180071416</v>
      </c>
      <c r="D22" s="55">
        <f t="shared" si="1"/>
        <v>4.434592619041184E-2</v>
      </c>
      <c r="E22" s="56">
        <f t="shared" si="2"/>
        <v>91.190058243799996</v>
      </c>
      <c r="F22" s="57">
        <f t="shared" si="17"/>
        <v>61.022352009333027</v>
      </c>
      <c r="G22" s="54">
        <f t="shared" si="3"/>
        <v>0.52940072887572243</v>
      </c>
      <c r="H22" s="55">
        <f t="shared" si="4"/>
        <v>0.30528232848854508</v>
      </c>
      <c r="I22" s="58">
        <f t="shared" si="5"/>
        <v>2.3885941936021786</v>
      </c>
      <c r="J22" s="59">
        <f t="shared" si="6"/>
        <v>0.66349838711171627</v>
      </c>
      <c r="K22" s="60">
        <f t="shared" si="7"/>
        <v>2689.1590546846023</v>
      </c>
      <c r="L22" s="61">
        <f t="shared" si="8"/>
        <v>2.7776874894309538</v>
      </c>
      <c r="M22" s="62">
        <f t="shared" si="9"/>
        <v>0.77157985817526487</v>
      </c>
      <c r="N22" s="63">
        <v>1</v>
      </c>
      <c r="O22" s="64">
        <f t="shared" si="10"/>
        <v>1.7776874894309538</v>
      </c>
      <c r="P22" s="65">
        <f t="shared" si="11"/>
        <v>1.6950102375197615</v>
      </c>
      <c r="Q22" s="66">
        <f t="shared" si="12"/>
        <v>1.7443760806007633</v>
      </c>
      <c r="S22" s="32">
        <f t="shared" si="13"/>
        <v>91.190058243799996</v>
      </c>
      <c r="T22" s="67">
        <f t="shared" si="14"/>
        <v>13</v>
      </c>
      <c r="U22" s="34">
        <f t="shared" si="15"/>
        <v>3.0462413979461802</v>
      </c>
      <c r="V22" s="86">
        <f t="shared" si="16"/>
        <v>1.2414282896779141</v>
      </c>
      <c r="W22" s="4">
        <v>2.0499999999999998</v>
      </c>
      <c r="X22" s="4">
        <f t="shared" si="21"/>
        <v>5.4206894316907284E-2</v>
      </c>
      <c r="Y22" s="4">
        <f t="shared" si="18"/>
        <v>0.48022352009333025</v>
      </c>
      <c r="Z22" s="4">
        <f t="shared" si="19"/>
        <v>0.11287846606591095</v>
      </c>
      <c r="AA22" s="4">
        <f t="shared" si="22"/>
        <v>6.7014290588295028E-2</v>
      </c>
      <c r="AB22" s="4">
        <f t="shared" si="23"/>
        <v>2.3689395335369587</v>
      </c>
      <c r="AC22" s="4">
        <f t="shared" si="24"/>
        <v>4.7473129432790016</v>
      </c>
      <c r="AD22" s="4">
        <f t="shared" si="25"/>
        <v>0.63106046646304126</v>
      </c>
      <c r="AE22" s="4">
        <f t="shared" si="26"/>
        <v>5.2526870567209984</v>
      </c>
      <c r="AF22" s="4">
        <f t="shared" si="27"/>
        <v>-5.2238338109049279E-2</v>
      </c>
      <c r="AG22" s="4">
        <f t="shared" si="28"/>
        <v>-3.5007151698894347E-3</v>
      </c>
      <c r="AH22" s="4">
        <f t="shared" si="20"/>
        <v>-2.2640789005977279E-2</v>
      </c>
      <c r="AI22" s="4">
        <f t="shared" si="29"/>
        <v>-1.4287706871203319E-2</v>
      </c>
    </row>
    <row r="23" spans="1:36" ht="15.75" customHeight="1" thickBot="1">
      <c r="A23" s="87">
        <f t="shared" si="30"/>
        <v>1</v>
      </c>
      <c r="B23" s="37">
        <v>12</v>
      </c>
      <c r="C23" s="88">
        <f t="shared" si="0"/>
        <v>9.7965385983999995E-2</v>
      </c>
      <c r="D23" s="89">
        <f t="shared" si="1"/>
        <v>4.0697259969944125E-2</v>
      </c>
      <c r="E23" s="90">
        <f t="shared" si="2"/>
        <v>91.67252984576001</v>
      </c>
      <c r="F23" s="91">
        <f t="shared" si="17"/>
        <v>59.368534073775123</v>
      </c>
      <c r="G23" s="88">
        <f t="shared" si="3"/>
        <v>0.51288451305626293</v>
      </c>
      <c r="H23" s="89">
        <f t="shared" si="4"/>
        <v>0.29142818713275281</v>
      </c>
      <c r="I23" s="92">
        <f t="shared" si="5"/>
        <v>2.3521342925102391</v>
      </c>
      <c r="J23" s="93">
        <f t="shared" si="6"/>
        <v>0.65337063680839969</v>
      </c>
      <c r="K23" s="94">
        <f t="shared" si="7"/>
        <v>2690.9502054145473</v>
      </c>
      <c r="L23" s="92">
        <f t="shared" si="8"/>
        <v>2.7249042223535356</v>
      </c>
      <c r="M23" s="93">
        <f t="shared" si="9"/>
        <v>0.7569178395426488</v>
      </c>
      <c r="N23" s="95">
        <v>1</v>
      </c>
      <c r="O23" s="96">
        <f t="shared" si="10"/>
        <v>1.7249042223535356</v>
      </c>
      <c r="P23" s="97">
        <f t="shared" si="11"/>
        <v>1.6177356917256958</v>
      </c>
      <c r="Q23" s="98">
        <f t="shared" si="12"/>
        <v>1.6648509742983388</v>
      </c>
      <c r="S23" s="49">
        <f t="shared" si="13"/>
        <v>91.67252984576001</v>
      </c>
      <c r="T23" s="50">
        <f t="shared" si="14"/>
        <v>12</v>
      </c>
      <c r="U23" s="99">
        <f t="shared" si="15"/>
        <v>3.0906174224910745</v>
      </c>
      <c r="V23" s="85">
        <f t="shared" ref="V23:V26" si="31">IF(B23=0,0,L$4/(1+U23))</f>
        <v>1.2279609700624008</v>
      </c>
      <c r="W23" s="4">
        <v>2.1</v>
      </c>
      <c r="X23" s="4">
        <f t="shared" si="21"/>
        <v>5.3264890223731376E-2</v>
      </c>
      <c r="Y23" s="4">
        <f t="shared" si="18"/>
        <v>0.47368534073775126</v>
      </c>
      <c r="Z23" s="4">
        <f t="shared" si="19"/>
        <v>0.11244783328268687</v>
      </c>
      <c r="AA23" s="4">
        <f t="shared" si="22"/>
        <v>6.4671502526714275E-2</v>
      </c>
      <c r="AB23" s="4">
        <f t="shared" si="23"/>
        <v>2.4336110360636729</v>
      </c>
      <c r="AC23" s="4">
        <f t="shared" si="24"/>
        <v>4.8597607765616884</v>
      </c>
      <c r="AD23" s="4">
        <f t="shared" si="25"/>
        <v>0.56638896393632709</v>
      </c>
      <c r="AE23" s="4">
        <f t="shared" si="26"/>
        <v>5.1402392234383116</v>
      </c>
      <c r="AF23" s="4">
        <f t="shared" si="27"/>
        <v>-4.7545656912552289E-2</v>
      </c>
      <c r="AG23" s="4">
        <f t="shared" si="28"/>
        <v>-3.0748490711544154E-3</v>
      </c>
      <c r="AH23" s="4">
        <f t="shared" si="20"/>
        <v>-1.9797097955654097E-2</v>
      </c>
      <c r="AI23" s="4">
        <f t="shared" si="29"/>
        <v>-1.1212857800048904E-2</v>
      </c>
    </row>
    <row r="24" spans="1:36" ht="15.75" customHeight="1" thickBot="1">
      <c r="A24" s="100">
        <f t="shared" si="30"/>
        <v>1</v>
      </c>
      <c r="B24" s="53">
        <v>11</v>
      </c>
      <c r="C24" s="101">
        <f t="shared" si="0"/>
        <v>8.9747424968000006E-2</v>
      </c>
      <c r="D24" s="102">
        <f t="shared" si="1"/>
        <v>3.7085804483684676E-2</v>
      </c>
      <c r="E24" s="103">
        <f t="shared" si="2"/>
        <v>92.181292963819999</v>
      </c>
      <c r="F24" s="104">
        <f t="shared" si="17"/>
        <v>57.512448785148337</v>
      </c>
      <c r="G24" s="101">
        <f t="shared" si="3"/>
        <v>0.49459346275070964</v>
      </c>
      <c r="H24" s="102">
        <f t="shared" si="4"/>
        <v>0.27655111005688515</v>
      </c>
      <c r="I24" s="105">
        <f t="shared" si="5"/>
        <v>2.3130337149913376</v>
      </c>
      <c r="J24" s="106">
        <f t="shared" si="6"/>
        <v>0.6425093652753715</v>
      </c>
      <c r="K24" s="107">
        <f t="shared" si="7"/>
        <v>2692.8021058478935</v>
      </c>
      <c r="L24" s="105">
        <f t="shared" si="8"/>
        <v>2.6681464567653137</v>
      </c>
      <c r="M24" s="106">
        <f t="shared" si="9"/>
        <v>0.74115179354592042</v>
      </c>
      <c r="N24" s="108">
        <v>2</v>
      </c>
      <c r="O24" s="106">
        <f t="shared" si="10"/>
        <v>0.33407322838265685</v>
      </c>
      <c r="P24" s="109">
        <f t="shared" si="11"/>
        <v>1.5345163644599011</v>
      </c>
      <c r="Q24" s="110">
        <f t="shared" si="12"/>
        <v>1.5792079494287341</v>
      </c>
      <c r="R24" s="111"/>
      <c r="S24" s="112">
        <f t="shared" si="13"/>
        <v>92.181292963819999</v>
      </c>
      <c r="T24" s="113">
        <f t="shared" si="14"/>
        <v>11</v>
      </c>
      <c r="U24" s="114">
        <f t="shared" si="15"/>
        <v>3.1613645145254563</v>
      </c>
      <c r="V24" s="115">
        <f t="shared" si="31"/>
        <v>1.2070844841260231</v>
      </c>
      <c r="W24" s="4">
        <v>2.15</v>
      </c>
      <c r="X24" s="116">
        <f t="shared" si="21"/>
        <v>5.2365041592495942E-2</v>
      </c>
      <c r="Y24" s="116">
        <f t="shared" si="18"/>
        <v>0.46512448785148336</v>
      </c>
      <c r="Z24" s="116">
        <f t="shared" si="19"/>
        <v>0.11258285246253551</v>
      </c>
      <c r="AA24" s="116">
        <f t="shared" si="22"/>
        <v>6.2385892032837169E-2</v>
      </c>
      <c r="AB24" s="116">
        <f t="shared" si="23"/>
        <v>2.4959969280965102</v>
      </c>
      <c r="AC24" s="116">
        <f t="shared" si="24"/>
        <v>4.9723436290242242</v>
      </c>
      <c r="AD24" s="116">
        <f t="shared" si="25"/>
        <v>0.50400307190348981</v>
      </c>
      <c r="AE24" s="116">
        <f t="shared" si="26"/>
        <v>5.0276563709757758</v>
      </c>
      <c r="AF24" s="116">
        <f t="shared" si="27"/>
        <v>-4.256376060465631E-2</v>
      </c>
      <c r="AG24" s="116">
        <f t="shared" si="28"/>
        <v>-2.6553781735936168E-3</v>
      </c>
      <c r="AH24" s="116">
        <f t="shared" si="20"/>
        <v>-1.6979022755031811E-2</v>
      </c>
      <c r="AI24" s="116">
        <f t="shared" si="29"/>
        <v>-8.5574796264552867E-3</v>
      </c>
      <c r="AJ24" s="111"/>
    </row>
    <row r="25" spans="1:36" ht="15.75" customHeight="1" thickBot="1">
      <c r="A25" s="87">
        <f t="shared" si="30"/>
        <v>1</v>
      </c>
      <c r="B25" s="37">
        <v>10</v>
      </c>
      <c r="C25" s="88">
        <f t="shared" si="0"/>
        <v>8.1524528000000013E-2</v>
      </c>
      <c r="D25" s="89">
        <f t="shared" si="1"/>
        <v>3.3510276064582449E-2</v>
      </c>
      <c r="E25" s="90">
        <f t="shared" si="2"/>
        <v>92.717810300000011</v>
      </c>
      <c r="F25" s="91">
        <f t="shared" si="17"/>
        <v>55.413316209586611</v>
      </c>
      <c r="G25" s="88">
        <f t="shared" si="3"/>
        <v>0.47420681320431662</v>
      </c>
      <c r="H25" s="89">
        <f t="shared" si="4"/>
        <v>0.26051921614995732</v>
      </c>
      <c r="I25" s="92">
        <f t="shared" si="5"/>
        <v>2.270957441725896</v>
      </c>
      <c r="J25" s="93">
        <f t="shared" si="6"/>
        <v>0.63082151159052668</v>
      </c>
      <c r="K25" s="94">
        <f t="shared" si="7"/>
        <v>2694.708272615756</v>
      </c>
      <c r="L25" s="92">
        <f t="shared" si="8"/>
        <v>2.6068849507784071</v>
      </c>
      <c r="M25" s="93">
        <f t="shared" si="9"/>
        <v>0.72413470854955753</v>
      </c>
      <c r="N25" s="95">
        <v>3</v>
      </c>
      <c r="O25" s="96">
        <f t="shared" si="10"/>
        <v>-0.13103834974053097</v>
      </c>
      <c r="P25" s="97">
        <f t="shared" si="11"/>
        <v>1.444561400994965</v>
      </c>
      <c r="Q25" s="98">
        <f t="shared" si="12"/>
        <v>1.4866331182411907</v>
      </c>
      <c r="S25" s="49">
        <f t="shared" si="13"/>
        <v>92.717810300000011</v>
      </c>
      <c r="T25" s="50">
        <f t="shared" si="14"/>
        <v>10</v>
      </c>
      <c r="U25" s="99">
        <f t="shared" si="15"/>
        <v>3.2741540518033436</v>
      </c>
      <c r="V25" s="85">
        <f t="shared" si="31"/>
        <v>1.1752310462831712</v>
      </c>
      <c r="W25" s="4">
        <v>2.2000000000000002</v>
      </c>
      <c r="X25" s="4">
        <f t="shared" si="21"/>
        <v>5.1513998515670067E-2</v>
      </c>
      <c r="Y25" s="4">
        <f t="shared" si="18"/>
        <v>0.45413316209586613</v>
      </c>
      <c r="Z25" s="4">
        <f t="shared" si="19"/>
        <v>0.11343368600946967</v>
      </c>
      <c r="AA25" s="4">
        <f t="shared" si="22"/>
        <v>6.0143202685876737E-2</v>
      </c>
      <c r="AB25" s="4">
        <f t="shared" si="23"/>
        <v>2.5561401307823868</v>
      </c>
      <c r="AC25" s="4">
        <f t="shared" si="24"/>
        <v>5.0857773150336936</v>
      </c>
      <c r="AD25" s="4">
        <f t="shared" si="25"/>
        <v>0.44385986921761322</v>
      </c>
      <c r="AE25" s="4">
        <f t="shared" si="26"/>
        <v>4.9142226849663064</v>
      </c>
      <c r="AF25" s="4">
        <f t="shared" si="27"/>
        <v>-3.735385006106999E-2</v>
      </c>
      <c r="AG25" s="4">
        <f t="shared" si="28"/>
        <v>-2.2465801753207815E-3</v>
      </c>
      <c r="AH25" s="4">
        <f t="shared" si="20"/>
        <v>-1.4218224914675563E-2</v>
      </c>
      <c r="AI25" s="4">
        <f t="shared" si="29"/>
        <v>-6.3108994511345048E-3</v>
      </c>
    </row>
    <row r="26" spans="1:36" ht="15.75" customHeight="1" thickBot="1">
      <c r="A26" s="87">
        <f t="shared" si="30"/>
        <v>1</v>
      </c>
      <c r="B26" s="53">
        <v>9</v>
      </c>
      <c r="C26" s="88">
        <f t="shared" si="0"/>
        <v>7.3295034711999996E-2</v>
      </c>
      <c r="D26" s="89">
        <f t="shared" si="1"/>
        <v>2.9969432516683776E-2</v>
      </c>
      <c r="E26" s="90">
        <f t="shared" si="2"/>
        <v>93.283602256640009</v>
      </c>
      <c r="F26" s="91">
        <f t="shared" si="17"/>
        <v>53.020583921478021</v>
      </c>
      <c r="G26" s="88">
        <f t="shared" si="3"/>
        <v>0.45133762791458637</v>
      </c>
      <c r="H26" s="89">
        <f t="shared" si="4"/>
        <v>0.2431889613616984</v>
      </c>
      <c r="I26" s="92">
        <f t="shared" si="5"/>
        <v>2.2255427796997549</v>
      </c>
      <c r="J26" s="93">
        <f t="shared" si="6"/>
        <v>0.61820632769437633</v>
      </c>
      <c r="K26" s="94">
        <f t="shared" si="7"/>
        <v>2696.6611067804356</v>
      </c>
      <c r="L26" s="92">
        <f t="shared" si="8"/>
        <v>2.5405372181389607</v>
      </c>
      <c r="M26" s="93">
        <f t="shared" si="9"/>
        <v>0.70570478281637794</v>
      </c>
      <c r="N26" s="95">
        <v>4</v>
      </c>
      <c r="O26" s="96">
        <f t="shared" si="10"/>
        <v>-0.36486569546525982</v>
      </c>
      <c r="P26" s="97">
        <f t="shared" si="11"/>
        <v>1.3470076677997509</v>
      </c>
      <c r="Q26" s="98">
        <f t="shared" si="12"/>
        <v>1.3862382091177841</v>
      </c>
      <c r="S26" s="49">
        <f t="shared" si="13"/>
        <v>93.283602256640009</v>
      </c>
      <c r="T26" s="50">
        <f t="shared" si="14"/>
        <v>9</v>
      </c>
      <c r="U26" s="99">
        <f t="shared" si="15"/>
        <v>3.4539704017014072</v>
      </c>
      <c r="V26" s="85">
        <f t="shared" si="31"/>
        <v>1.1277844451677268</v>
      </c>
      <c r="W26" s="4">
        <v>2.25</v>
      </c>
      <c r="X26" s="4">
        <f t="shared" si="21"/>
        <v>5.072205442030886E-2</v>
      </c>
      <c r="Y26" s="4">
        <f t="shared" si="18"/>
        <v>0.44020583921478024</v>
      </c>
      <c r="Z26" s="4">
        <f t="shared" si="19"/>
        <v>0.11522349297043542</v>
      </c>
      <c r="AA26" s="4">
        <f t="shared" si="22"/>
        <v>5.7924522227840745E-2</v>
      </c>
      <c r="AB26" s="4">
        <f t="shared" si="23"/>
        <v>2.6140646530102276</v>
      </c>
      <c r="AC26" s="4">
        <f t="shared" si="24"/>
        <v>5.201000808004129</v>
      </c>
      <c r="AD26" s="4">
        <f t="shared" si="25"/>
        <v>0.38593534698977239</v>
      </c>
      <c r="AE26" s="4">
        <f t="shared" si="26"/>
        <v>4.798999191995871</v>
      </c>
      <c r="AF26" s="4">
        <f t="shared" si="27"/>
        <v>-3.1991006058020015E-2</v>
      </c>
      <c r="AG26" s="4">
        <f t="shared" si="28"/>
        <v>-1.8530637414987683E-3</v>
      </c>
      <c r="AH26" s="4">
        <f t="shared" si="20"/>
        <v>-1.1550731863266914E-2</v>
      </c>
      <c r="AI26" s="4">
        <f t="shared" si="29"/>
        <v>-4.4578357096357367E-3</v>
      </c>
    </row>
    <row r="27" spans="1:36" ht="15.75" customHeight="1" thickBot="1">
      <c r="A27" s="87">
        <f t="shared" si="30"/>
        <v>1</v>
      </c>
      <c r="B27" s="37">
        <v>8</v>
      </c>
      <c r="C27" s="88">
        <f t="shared" si="0"/>
        <v>6.505728473599999E-2</v>
      </c>
      <c r="D27" s="89">
        <f t="shared" si="1"/>
        <v>2.6462071706481356E-2</v>
      </c>
      <c r="E27" s="90">
        <f t="shared" si="2"/>
        <v>93.880248089599988</v>
      </c>
      <c r="F27" s="91">
        <f t="shared" si="17"/>
        <v>50.271451363397993</v>
      </c>
      <c r="G27" s="88">
        <f t="shared" si="3"/>
        <v>0.42551889030821166</v>
      </c>
      <c r="H27" s="89">
        <f t="shared" si="4"/>
        <v>0.22440724353636413</v>
      </c>
      <c r="I27" s="92">
        <f t="shared" si="5"/>
        <v>2.176405488199447</v>
      </c>
      <c r="J27" s="93">
        <f t="shared" si="6"/>
        <v>0.60455708005540199</v>
      </c>
      <c r="K27" s="94">
        <f t="shared" si="7"/>
        <v>2698.6521698134388</v>
      </c>
      <c r="L27" s="92">
        <f t="shared" si="8"/>
        <v>2.4684732811771948</v>
      </c>
      <c r="M27" s="93">
        <f t="shared" si="9"/>
        <v>0.68568702254922076</v>
      </c>
      <c r="N27" s="95">
        <v>5</v>
      </c>
      <c r="O27" s="96">
        <f t="shared" si="10"/>
        <v>-0.50630534376456104</v>
      </c>
      <c r="P27" s="97">
        <f t="shared" si="11"/>
        <v>1.2409373449654681</v>
      </c>
      <c r="Q27" s="98">
        <f t="shared" si="12"/>
        <v>1.2770786713651003</v>
      </c>
      <c r="W27" s="4">
        <v>2.2999999999999998</v>
      </c>
      <c r="X27" s="4">
        <f t="shared" si="21"/>
        <v>5.0005403550061223E-2</v>
      </c>
      <c r="Y27" s="4">
        <f t="shared" si="18"/>
        <v>0.42271451363397994</v>
      </c>
      <c r="Z27" s="4">
        <f t="shared" si="19"/>
        <v>0.11829592298635837</v>
      </c>
      <c r="AA27" s="4">
        <f t="shared" si="22"/>
        <v>5.5702858023728513E-2</v>
      </c>
      <c r="AB27" s="4">
        <f t="shared" si="23"/>
        <v>2.6697675110339563</v>
      </c>
      <c r="AC27" s="4">
        <f t="shared" si="24"/>
        <v>5.3192967309904873</v>
      </c>
      <c r="AD27" s="4">
        <f t="shared" si="25"/>
        <v>0.33023248896604374</v>
      </c>
      <c r="AE27" s="4">
        <f t="shared" si="26"/>
        <v>4.6807032690095127</v>
      </c>
      <c r="AF27" s="4">
        <f t="shared" si="27"/>
        <v>-2.6566683285513901E-2</v>
      </c>
      <c r="AG27" s="4">
        <f t="shared" si="28"/>
        <v>-1.4798401872143422E-3</v>
      </c>
      <c r="AH27" s="4">
        <f t="shared" si="20"/>
        <v>-9.0178756540444695E-3</v>
      </c>
      <c r="AI27" s="4">
        <f t="shared" si="29"/>
        <v>-2.9779955224213945E-3</v>
      </c>
    </row>
    <row r="28" spans="1:36" ht="15.75" customHeight="1" thickBot="1">
      <c r="A28" s="87">
        <f t="shared" si="30"/>
        <v>1</v>
      </c>
      <c r="B28" s="53">
        <v>7</v>
      </c>
      <c r="C28" s="88">
        <f t="shared" si="0"/>
        <v>5.6809617703999997E-2</v>
      </c>
      <c r="D28" s="89">
        <f t="shared" si="1"/>
        <v>2.2987030221278494E-2</v>
      </c>
      <c r="E28" s="90">
        <f t="shared" si="2"/>
        <v>94.509387061460018</v>
      </c>
      <c r="F28" s="91">
        <f t="shared" si="17"/>
        <v>47.087724257540174</v>
      </c>
      <c r="G28" s="88">
        <f t="shared" si="3"/>
        <v>0.39618554513683896</v>
      </c>
      <c r="H28" s="89">
        <f t="shared" si="4"/>
        <v>0.20401422951845632</v>
      </c>
      <c r="I28" s="92">
        <f t="shared" si="5"/>
        <v>2.1231478271070978</v>
      </c>
      <c r="J28" s="93">
        <f t="shared" si="6"/>
        <v>0.5897632853075272</v>
      </c>
      <c r="K28" s="94">
        <f t="shared" si="7"/>
        <v>2700.6725530870026</v>
      </c>
      <c r="L28" s="92">
        <f t="shared" si="8"/>
        <v>2.3900243483560484</v>
      </c>
      <c r="M28" s="93">
        <f t="shared" si="9"/>
        <v>0.66389565232112457</v>
      </c>
      <c r="N28" s="95">
        <v>6</v>
      </c>
      <c r="O28" s="96">
        <f t="shared" si="10"/>
        <v>-0.60166260860732523</v>
      </c>
      <c r="P28" s="97">
        <f t="shared" si="11"/>
        <v>1.1254080748419675</v>
      </c>
      <c r="Q28" s="98">
        <f t="shared" si="12"/>
        <v>1.1581847019059046</v>
      </c>
      <c r="W28" s="4">
        <v>2.35</v>
      </c>
      <c r="X28" s="4">
        <f t="shared" si="21"/>
        <v>4.9390292825472859E-2</v>
      </c>
      <c r="Y28" s="4">
        <f t="shared" si="18"/>
        <v>0.40087724257540175</v>
      </c>
      <c r="Z28" s="4">
        <f t="shared" si="19"/>
        <v>0.12320552922428103</v>
      </c>
      <c r="AA28" s="4">
        <f t="shared" si="22"/>
        <v>5.3436441194483958E-2</v>
      </c>
      <c r="AB28" s="4">
        <f t="shared" si="23"/>
        <v>2.7232039522284404</v>
      </c>
      <c r="AC28" s="4">
        <f t="shared" si="24"/>
        <v>5.4425022602147681</v>
      </c>
      <c r="AD28" s="4">
        <f t="shared" si="25"/>
        <v>0.27679604777155964</v>
      </c>
      <c r="AE28" s="4">
        <f t="shared" si="26"/>
        <v>4.5574977397852319</v>
      </c>
      <c r="AF28" s="4">
        <f t="shared" si="27"/>
        <v>-2.1192007787004506E-2</v>
      </c>
      <c r="AG28" s="4">
        <f t="shared" si="28"/>
        <v>-1.1324254779033125E-3</v>
      </c>
      <c r="AH28" s="4">
        <f t="shared" si="20"/>
        <v>-6.6676170392477386E-3</v>
      </c>
      <c r="AI28" s="4">
        <f t="shared" si="29"/>
        <v>-1.8455700445180821E-3</v>
      </c>
    </row>
    <row r="29" spans="1:36" ht="15.75" customHeight="1" thickBot="1">
      <c r="A29" s="87">
        <f t="shared" si="30"/>
        <v>1</v>
      </c>
      <c r="B29" s="37">
        <v>6</v>
      </c>
      <c r="C29" s="88">
        <f t="shared" si="0"/>
        <v>4.8550373247999996E-2</v>
      </c>
      <c r="D29" s="89">
        <f t="shared" si="1"/>
        <v>1.9543182090837302E-2</v>
      </c>
      <c r="E29" s="90">
        <f t="shared" si="2"/>
        <v>95.172719594719993</v>
      </c>
      <c r="F29" s="91">
        <f t="shared" si="17"/>
        <v>43.371788207012415</v>
      </c>
      <c r="G29" s="88">
        <f t="shared" si="3"/>
        <v>0.36264975012219702</v>
      </c>
      <c r="H29" s="89">
        <f t="shared" si="4"/>
        <v>0.18184619265275881</v>
      </c>
      <c r="I29" s="92">
        <f t="shared" si="5"/>
        <v>2.0653666414457899</v>
      </c>
      <c r="J29" s="93">
        <f t="shared" si="6"/>
        <v>0.57371295595716387</v>
      </c>
      <c r="K29" s="94">
        <f t="shared" si="7"/>
        <v>2702.7132498934516</v>
      </c>
      <c r="L29" s="92">
        <f t="shared" si="8"/>
        <v>2.3044927076453217</v>
      </c>
      <c r="M29" s="93">
        <f t="shared" si="9"/>
        <v>0.64013686323481156</v>
      </c>
      <c r="N29" s="95">
        <v>7</v>
      </c>
      <c r="O29" s="96">
        <f t="shared" si="10"/>
        <v>-0.67078675605066829</v>
      </c>
      <c r="P29" s="97">
        <f t="shared" si="11"/>
        <v>0.99949969640597469</v>
      </c>
      <c r="Q29" s="98">
        <f t="shared" si="12"/>
        <v>1.0286093407491765</v>
      </c>
      <c r="W29" s="4">
        <v>2.4</v>
      </c>
      <c r="X29" s="4">
        <f t="shared" si="21"/>
        <v>4.8921160782298023E-2</v>
      </c>
      <c r="Y29" s="4">
        <f t="shared" si="18"/>
        <v>0.37371788207012413</v>
      </c>
      <c r="Z29" s="4">
        <f t="shared" si="19"/>
        <v>0.13090398701638392</v>
      </c>
      <c r="AA29" s="4">
        <f t="shared" si="22"/>
        <v>5.1054381115975191E-2</v>
      </c>
      <c r="AB29" s="4">
        <f t="shared" si="23"/>
        <v>2.7742583333444157</v>
      </c>
      <c r="AC29" s="4">
        <f t="shared" si="24"/>
        <v>5.5734062472311523</v>
      </c>
      <c r="AD29" s="4">
        <f t="shared" si="25"/>
        <v>0.22574166665558426</v>
      </c>
      <c r="AE29" s="4">
        <f t="shared" si="26"/>
        <v>4.4265937527688477</v>
      </c>
      <c r="AF29" s="4">
        <f t="shared" si="27"/>
        <v>-1.6002280894194573E-2</v>
      </c>
      <c r="AG29" s="4">
        <f t="shared" si="28"/>
        <v>-8.1698654749709802E-4</v>
      </c>
      <c r="AH29" s="4">
        <f t="shared" si="20"/>
        <v>-4.5564627578935238E-3</v>
      </c>
      <c r="AI29" s="4">
        <f t="shared" si="29"/>
        <v>-1.0285834970209841E-3</v>
      </c>
    </row>
    <row r="30" spans="1:36" ht="15.75" customHeight="1" thickBot="1">
      <c r="A30" s="87">
        <f t="shared" si="30"/>
        <v>1</v>
      </c>
      <c r="B30" s="53">
        <v>5</v>
      </c>
      <c r="C30" s="88">
        <f t="shared" si="0"/>
        <v>4.0277890999999996E-2</v>
      </c>
      <c r="D30" s="89">
        <f t="shared" si="1"/>
        <v>1.6129437568800156E-2</v>
      </c>
      <c r="E30" s="90">
        <f t="shared" si="2"/>
        <v>95.87200842499999</v>
      </c>
      <c r="F30" s="91">
        <f t="shared" si="17"/>
        <v>39.001395052684863</v>
      </c>
      <c r="G30" s="88">
        <f t="shared" si="3"/>
        <v>0.32406371100228382</v>
      </c>
      <c r="H30" s="89">
        <f t="shared" si="4"/>
        <v>0.1577366386549251</v>
      </c>
      <c r="I30" s="92">
        <f t="shared" si="5"/>
        <v>2.0026569909091663</v>
      </c>
      <c r="J30" s="93">
        <f t="shared" si="6"/>
        <v>0.55629360858587951</v>
      </c>
      <c r="K30" s="94">
        <f t="shared" si="7"/>
        <v>2704.7653099971017</v>
      </c>
      <c r="L30" s="92">
        <f t="shared" si="8"/>
        <v>2.2111584725712574</v>
      </c>
      <c r="M30" s="93">
        <f t="shared" si="9"/>
        <v>0.61421068682534929</v>
      </c>
      <c r="N30" s="95">
        <v>8</v>
      </c>
      <c r="O30" s="96">
        <f t="shared" si="10"/>
        <v>-0.72360519092859277</v>
      </c>
      <c r="P30" s="97">
        <f t="shared" si="11"/>
        <v>0.8623826511284286</v>
      </c>
      <c r="Q30" s="98">
        <f t="shared" si="12"/>
        <v>0.88749886912465625</v>
      </c>
      <c r="W30" s="4">
        <v>2.4500000000000002</v>
      </c>
      <c r="X30" s="4">
        <f t="shared" si="21"/>
        <v>4.8677916544830446E-2</v>
      </c>
      <c r="Y30" s="4">
        <f t="shared" si="18"/>
        <v>0.34001395052684863</v>
      </c>
      <c r="Z30" s="4">
        <f t="shared" si="19"/>
        <v>0.1431644686031395</v>
      </c>
      <c r="AA30" s="4">
        <f t="shared" si="22"/>
        <v>4.842219857934138E-2</v>
      </c>
      <c r="AB30" s="4">
        <f t="shared" si="23"/>
        <v>2.8226805319237571</v>
      </c>
      <c r="AC30" s="4">
        <f t="shared" si="24"/>
        <v>5.7165707158342922</v>
      </c>
      <c r="AD30" s="4">
        <f t="shared" si="25"/>
        <v>0.17731946807624288</v>
      </c>
      <c r="AE30" s="4">
        <f t="shared" si="26"/>
        <v>4.2834292841657078</v>
      </c>
      <c r="AF30" s="4">
        <f t="shared" si="27"/>
        <v>-1.1163333756839134E-2</v>
      </c>
      <c r="AG30" s="4">
        <f t="shared" si="28"/>
        <v>-5.4055316398112961E-4</v>
      </c>
      <c r="AH30" s="4">
        <f t="shared" si="20"/>
        <v>-2.7522659431282173E-3</v>
      </c>
      <c r="AI30" s="4">
        <f t="shared" si="29"/>
        <v>-4.8803033303985446E-4</v>
      </c>
    </row>
    <row r="31" spans="1:36" ht="15.75" customHeight="1" thickBot="1">
      <c r="A31" s="87">
        <f t="shared" si="30"/>
        <v>1</v>
      </c>
      <c r="B31" s="37">
        <v>4</v>
      </c>
      <c r="C31" s="88">
        <f t="shared" si="0"/>
        <v>3.1990510592000004E-2</v>
      </c>
      <c r="D31" s="89">
        <f t="shared" si="1"/>
        <v>1.2744741970579423E-2</v>
      </c>
      <c r="E31" s="90">
        <f t="shared" si="2"/>
        <v>96.60907975424</v>
      </c>
      <c r="F31" s="91">
        <f t="shared" si="17"/>
        <v>33.822776734896856</v>
      </c>
      <c r="G31" s="88">
        <f t="shared" si="3"/>
        <v>0.27935832468464028</v>
      </c>
      <c r="H31" s="89">
        <f t="shared" si="4"/>
        <v>0.13151218877605411</v>
      </c>
      <c r="I31" s="92">
        <f t="shared" si="5"/>
        <v>1.9346022230865723</v>
      </c>
      <c r="J31" s="93">
        <f t="shared" si="6"/>
        <v>0.5373895064129367</v>
      </c>
      <c r="K31" s="94">
        <f t="shared" si="7"/>
        <v>2706.8193264791307</v>
      </c>
      <c r="L31" s="92">
        <f t="shared" si="8"/>
        <v>2.10927425572847</v>
      </c>
      <c r="M31" s="93">
        <f t="shared" si="9"/>
        <v>0.58590951548013059</v>
      </c>
      <c r="N31" s="95">
        <v>9</v>
      </c>
      <c r="O31" s="96">
        <f t="shared" si="10"/>
        <v>-0.76563619380794767</v>
      </c>
      <c r="P31" s="97">
        <f t="shared" si="11"/>
        <v>0.71341512224169779</v>
      </c>
      <c r="Q31" s="98">
        <f t="shared" si="12"/>
        <v>0.73419277785499415</v>
      </c>
      <c r="W31" s="4">
        <v>2.5</v>
      </c>
      <c r="X31" s="4">
        <f t="shared" si="21"/>
        <v>4.88165895512718E-2</v>
      </c>
      <c r="Y31" s="4">
        <f t="shared" si="18"/>
        <v>0.29822776734896855</v>
      </c>
      <c r="Z31" s="4">
        <f t="shared" si="19"/>
        <v>0.16368894816608243</v>
      </c>
      <c r="AA31" s="4">
        <f t="shared" si="22"/>
        <v>4.5245579857193123E-2</v>
      </c>
      <c r="AB31" s="4">
        <f t="shared" si="23"/>
        <v>2.86792611178095</v>
      </c>
      <c r="AC31" s="4">
        <f t="shared" si="24"/>
        <v>5.8802596640003744</v>
      </c>
      <c r="AD31" s="4">
        <f t="shared" si="25"/>
        <v>0.13207388821904997</v>
      </c>
      <c r="AE31" s="4">
        <f t="shared" si="26"/>
        <v>4.1197403359996256</v>
      </c>
      <c r="AF31" s="4">
        <f t="shared" si="27"/>
        <v>-6.8806648578205436E-3</v>
      </c>
      <c r="AG31" s="4">
        <f t="shared" si="28"/>
        <v>-3.1131967129510176E-4</v>
      </c>
      <c r="AH31" s="4">
        <f t="shared" si="20"/>
        <v>-1.3379681943767022E-3</v>
      </c>
      <c r="AI31" s="4">
        <f t="shared" si="29"/>
        <v>-1.767106617447527E-4</v>
      </c>
    </row>
    <row r="32" spans="1:36" ht="15.75" customHeight="1" thickBot="1">
      <c r="A32" s="87">
        <f t="shared" si="30"/>
        <v>1</v>
      </c>
      <c r="B32" s="53">
        <v>3</v>
      </c>
      <c r="C32" s="88">
        <f t="shared" si="0"/>
        <v>2.3686571656000001E-2</v>
      </c>
      <c r="D32" s="89">
        <f t="shared" si="1"/>
        <v>9.3880745646026092E-3</v>
      </c>
      <c r="E32" s="90">
        <f t="shared" si="2"/>
        <v>97.385824403900003</v>
      </c>
      <c r="F32" s="91">
        <f t="shared" si="17"/>
        <v>27.641194084334852</v>
      </c>
      <c r="G32" s="88">
        <f t="shared" si="3"/>
        <v>0.22713240220388264</v>
      </c>
      <c r="H32" s="89">
        <f t="shared" si="4"/>
        <v>0.10297644102306391</v>
      </c>
      <c r="I32" s="92">
        <f t="shared" si="5"/>
        <v>1.8607331992918794</v>
      </c>
      <c r="J32" s="93">
        <f t="shared" si="6"/>
        <v>0.51687033313663311</v>
      </c>
      <c r="K32" s="94">
        <f t="shared" si="7"/>
        <v>2708.8633927587211</v>
      </c>
      <c r="L32" s="92">
        <f t="shared" si="8"/>
        <v>1.9980309238125544</v>
      </c>
      <c r="M32" s="93">
        <f t="shared" si="9"/>
        <v>0.55500858994793179</v>
      </c>
      <c r="N32" s="95">
        <v>10</v>
      </c>
      <c r="O32" s="96">
        <f t="shared" si="10"/>
        <v>-0.80019690761874462</v>
      </c>
      <c r="P32" s="97">
        <f t="shared" si="11"/>
        <v>0.55227960551605682</v>
      </c>
      <c r="Q32" s="98">
        <f t="shared" si="12"/>
        <v>0.56836431564892131</v>
      </c>
      <c r="V32" s="117"/>
      <c r="W32" s="4">
        <v>2.65</v>
      </c>
      <c r="X32" s="4">
        <f t="shared" si="21"/>
        <v>4.9679081499057282E-2</v>
      </c>
      <c r="Y32" s="4">
        <f t="shared" si="18"/>
        <v>0.24641194084334853</v>
      </c>
      <c r="Z32" s="4">
        <f t="shared" si="19"/>
        <v>0.20160987868132479</v>
      </c>
      <c r="AA32" s="4">
        <f t="shared" si="22"/>
        <v>4.0738883266424282E-2</v>
      </c>
      <c r="AB32" s="4">
        <f t="shared" si="23"/>
        <v>2.9086649950473742</v>
      </c>
      <c r="AC32" s="4">
        <f t="shared" si="24"/>
        <v>6.0818695426816989</v>
      </c>
      <c r="AD32" s="4">
        <f t="shared" si="25"/>
        <v>9.1335004952625809E-2</v>
      </c>
      <c r="AE32" s="4">
        <f t="shared" si="26"/>
        <v>3.9181304573183011</v>
      </c>
      <c r="AF32" s="4">
        <f t="shared" si="27"/>
        <v>-3.5456157150982608E-3</v>
      </c>
      <c r="AG32" s="4">
        <f t="shared" si="28"/>
        <v>-1.4444442472498749E-4</v>
      </c>
      <c r="AH32" s="4">
        <f t="shared" si="20"/>
        <v>-3.5327350161639835E-4</v>
      </c>
      <c r="AI32" s="4">
        <f t="shared" si="29"/>
        <v>-3.2266237019765203E-5</v>
      </c>
    </row>
    <row r="33" spans="1:36" ht="15.75" customHeight="1" thickBot="1">
      <c r="A33" s="87">
        <f t="shared" si="30"/>
        <v>1</v>
      </c>
      <c r="B33" s="37">
        <v>2</v>
      </c>
      <c r="C33" s="88">
        <f t="shared" si="0"/>
        <v>1.5364413823999999E-2</v>
      </c>
      <c r="D33" s="89">
        <f t="shared" si="1"/>
        <v>6.0584475139796078E-3</v>
      </c>
      <c r="E33" s="90">
        <f t="shared" si="2"/>
        <v>98.204198968160014</v>
      </c>
      <c r="F33" s="91">
        <f t="shared" si="17"/>
        <v>20.206789237157523</v>
      </c>
      <c r="G33" s="88">
        <f t="shared" si="3"/>
        <v>0.1654353986359765</v>
      </c>
      <c r="H33" s="89">
        <f t="shared" si="4"/>
        <v>7.1868415372019476E-2</v>
      </c>
      <c r="I33" s="92">
        <f t="shared" si="5"/>
        <v>1.7804228014733312</v>
      </c>
      <c r="J33" s="93">
        <f t="shared" si="6"/>
        <v>0.49456188929814754</v>
      </c>
      <c r="K33" s="94">
        <f t="shared" si="7"/>
        <v>2710.8778312555787</v>
      </c>
      <c r="L33" s="92">
        <f t="shared" si="8"/>
        <v>1.8764607538781957</v>
      </c>
      <c r="M33" s="93">
        <f t="shared" si="9"/>
        <v>0.52123909829949877</v>
      </c>
      <c r="N33" s="95">
        <v>11</v>
      </c>
      <c r="O33" s="96">
        <f t="shared" si="10"/>
        <v>-0.82941265873834591</v>
      </c>
      <c r="P33" s="97">
        <f t="shared" si="11"/>
        <v>0.37917246965414414</v>
      </c>
      <c r="Q33" s="98">
        <f t="shared" si="12"/>
        <v>0.39021557029344872</v>
      </c>
      <c r="V33" s="117"/>
      <c r="W33" s="4">
        <v>2.7</v>
      </c>
      <c r="X33" s="4">
        <f t="shared" si="21"/>
        <v>5.2153700379442711E-2</v>
      </c>
      <c r="Y33" s="4">
        <f t="shared" si="18"/>
        <v>0.18206789237157522</v>
      </c>
      <c r="Z33" s="4">
        <f t="shared" si="19"/>
        <v>0.28645193669295776</v>
      </c>
      <c r="AA33" s="4">
        <f t="shared" si="22"/>
        <v>3.2047275177868324E-2</v>
      </c>
      <c r="AB33" s="4">
        <f t="shared" si="23"/>
        <v>2.9407122702252426</v>
      </c>
      <c r="AC33" s="4">
        <f t="shared" si="24"/>
        <v>6.3683214793746563</v>
      </c>
      <c r="AD33" s="4">
        <f t="shared" si="25"/>
        <v>5.9287729774757381E-2</v>
      </c>
      <c r="AE33" s="4">
        <f t="shared" si="26"/>
        <v>3.6316785206253437</v>
      </c>
      <c r="AF33" s="4">
        <f t="shared" si="27"/>
        <v>-9.5383845436427563E-4</v>
      </c>
      <c r="AG33" s="4">
        <f t="shared" si="28"/>
        <v>-3.0567923422244541E-5</v>
      </c>
      <c r="AH33" s="4">
        <f t="shared" si="20"/>
        <v>-2.8645279621479858E-5</v>
      </c>
      <c r="AI33" s="4">
        <f t="shared" si="29"/>
        <v>-1.6983135975206622E-6</v>
      </c>
    </row>
    <row r="34" spans="1:36" ht="18.75" customHeight="1" thickBot="1">
      <c r="A34" s="87">
        <f t="shared" si="30"/>
        <v>1</v>
      </c>
      <c r="B34" s="53">
        <v>1</v>
      </c>
      <c r="C34" s="88">
        <f t="shared" si="0"/>
        <v>7.0223767279999991E-3</v>
      </c>
      <c r="D34" s="89">
        <f t="shared" si="1"/>
        <v>2.7549048658263697E-3</v>
      </c>
      <c r="E34" s="90">
        <f t="shared" si="2"/>
        <v>99.066226967120002</v>
      </c>
      <c r="F34" s="91">
        <f t="shared" si="17"/>
        <v>11.187662247233877</v>
      </c>
      <c r="G34" s="88">
        <f t="shared" si="3"/>
        <v>9.1289952128336557E-2</v>
      </c>
      <c r="H34" s="89">
        <f t="shared" si="4"/>
        <v>3.7760761723120442E-2</v>
      </c>
      <c r="I34" s="92">
        <f t="shared" si="5"/>
        <v>1.6926278456414316</v>
      </c>
      <c r="J34" s="93">
        <f t="shared" si="6"/>
        <v>0.47017440156706436</v>
      </c>
      <c r="K34" s="94">
        <f t="shared" si="7"/>
        <v>2712.8222842281675</v>
      </c>
      <c r="L34" s="92">
        <f t="shared" si="8"/>
        <v>1.7431780901617153</v>
      </c>
      <c r="M34" s="93">
        <f t="shared" si="9"/>
        <v>0.48421613615603204</v>
      </c>
      <c r="N34" s="95">
        <v>6.5000000000000002E-2</v>
      </c>
      <c r="O34" s="96">
        <f t="shared" si="10"/>
        <v>25.81812446402639</v>
      </c>
      <c r="P34" s="97">
        <f t="shared" si="11"/>
        <v>0.19502087709507474</v>
      </c>
      <c r="Q34" s="98">
        <f t="shared" si="12"/>
        <v>0.20070070710617965</v>
      </c>
      <c r="W34" s="4">
        <v>2.2999999999999998</v>
      </c>
      <c r="X34" s="4">
        <f t="shared" si="21"/>
        <v>4.1129337171630836E-2</v>
      </c>
      <c r="Y34" s="4">
        <f t="shared" si="18"/>
        <v>0.10187662247233878</v>
      </c>
      <c r="Z34" s="4">
        <f t="shared" si="19"/>
        <v>0.40371712541607024</v>
      </c>
      <c r="AA34" s="4">
        <f t="shared" si="22"/>
        <v>2.3971381909126555E-2</v>
      </c>
      <c r="AB34" s="4">
        <f t="shared" si="23"/>
        <v>2.9646836521343691</v>
      </c>
      <c r="AC34" s="4">
        <f t="shared" si="24"/>
        <v>6.7720386047907262</v>
      </c>
      <c r="AD34" s="4">
        <f t="shared" si="25"/>
        <v>3.531634786563087E-2</v>
      </c>
      <c r="AE34" s="4">
        <f t="shared" si="26"/>
        <v>3.2279613952092738</v>
      </c>
      <c r="AF34" s="4">
        <f t="shared" si="27"/>
        <v>-6.5884143129403669E-5</v>
      </c>
      <c r="AG34" s="4">
        <f t="shared" si="28"/>
        <v>-1.5793339567104917E-6</v>
      </c>
      <c r="AH34" s="4">
        <f t="shared" si="20"/>
        <v>-3.3689678576860743E-6</v>
      </c>
      <c r="AI34" s="4">
        <f t="shared" si="29"/>
        <v>-1.1897964081017059E-7</v>
      </c>
    </row>
    <row r="35" spans="1:36" ht="15.75" customHeight="1" thickBot="1">
      <c r="A35" s="100">
        <f t="shared" si="30"/>
        <v>1</v>
      </c>
      <c r="B35" s="37">
        <v>0.5</v>
      </c>
      <c r="C35" s="101">
        <f t="shared" si="0"/>
        <v>2.8433845909999998E-3</v>
      </c>
      <c r="D35" s="102">
        <f t="shared" si="1"/>
        <v>1.112624937163654E-3</v>
      </c>
      <c r="E35" s="103">
        <f t="shared" si="2"/>
        <v>99.514261938495309</v>
      </c>
      <c r="F35" s="104">
        <f t="shared" si="17"/>
        <v>5.9376678372069769</v>
      </c>
      <c r="G35" s="101">
        <f t="shared" si="3"/>
        <v>4.8035135573568449E-2</v>
      </c>
      <c r="H35" s="102">
        <f t="shared" si="4"/>
        <v>1.9329527368439611E-2</v>
      </c>
      <c r="I35" s="105">
        <f t="shared" si="5"/>
        <v>1.6452973762109007</v>
      </c>
      <c r="J35" s="106">
        <f t="shared" si="6"/>
        <v>0.45702704894747237</v>
      </c>
      <c r="K35" s="107">
        <f t="shared" si="7"/>
        <v>2713.7406775137133</v>
      </c>
      <c r="L35" s="105">
        <f t="shared" si="8"/>
        <v>1.6713758839560768</v>
      </c>
      <c r="M35" s="106">
        <f t="shared" si="9"/>
        <v>0.464271078876688</v>
      </c>
      <c r="N35" s="108">
        <v>0.3</v>
      </c>
      <c r="O35" s="106">
        <f t="shared" si="10"/>
        <v>4.5712529465202563</v>
      </c>
      <c r="P35" s="109">
        <f t="shared" si="11"/>
        <v>9.9240748300493772E-2</v>
      </c>
      <c r="Q35" s="110">
        <f t="shared" si="12"/>
        <v>0.10213105721981454</v>
      </c>
      <c r="R35" s="111"/>
      <c r="S35" s="111"/>
      <c r="T35" s="111"/>
      <c r="U35" s="111"/>
      <c r="V35" s="111"/>
      <c r="W35" s="4">
        <v>2.35</v>
      </c>
      <c r="X35" s="116">
        <f t="shared" si="21"/>
        <v>6.7595961817723704E-2</v>
      </c>
      <c r="Y35" s="116">
        <f t="shared" si="18"/>
        <v>5.4376678372069769E-2</v>
      </c>
      <c r="Z35" s="116">
        <f t="shared" si="19"/>
        <v>1.243105754919446</v>
      </c>
      <c r="AA35" s="116" t="e">
        <f t="shared" si="22"/>
        <v>#NUM!</v>
      </c>
      <c r="AB35" s="116" t="e">
        <f t="shared" si="23"/>
        <v>#NUM!</v>
      </c>
      <c r="AC35" s="116">
        <f t="shared" si="24"/>
        <v>8.0151443597101721</v>
      </c>
      <c r="AD35" s="116" t="e">
        <f t="shared" si="25"/>
        <v>#NUM!</v>
      </c>
      <c r="AE35" s="116">
        <f t="shared" si="26"/>
        <v>1.9848556402898279</v>
      </c>
      <c r="AF35" s="116">
        <f t="shared" si="27"/>
        <v>-7.917074465562274E-6</v>
      </c>
      <c r="AG35" s="116" t="e">
        <f t="shared" si="28"/>
        <v>#NUM!</v>
      </c>
      <c r="AH35" s="116" t="e">
        <f t="shared" si="20"/>
        <v>#NUM!</v>
      </c>
      <c r="AI35" s="116" t="e">
        <f t="shared" si="29"/>
        <v>#NUM!</v>
      </c>
      <c r="AJ35" s="111"/>
    </row>
    <row r="36" spans="1:36" ht="15.75" customHeight="1" thickBot="1">
      <c r="A36" s="87">
        <f t="shared" si="30"/>
        <v>1</v>
      </c>
      <c r="B36" s="53">
        <v>-1</v>
      </c>
      <c r="C36" s="88">
        <f t="shared" si="0"/>
        <v>-9.7279767279999999E-3</v>
      </c>
      <c r="D36" s="89">
        <f t="shared" si="1"/>
        <v>-3.7775973657622865E-3</v>
      </c>
      <c r="E36" s="90">
        <f t="shared" si="2"/>
        <v>100.92967889834</v>
      </c>
      <c r="F36" s="91" t="e">
        <f t="shared" si="17"/>
        <v>#NUM!</v>
      </c>
      <c r="G36" s="88" t="e">
        <f t="shared" si="3"/>
        <v>#NUM!</v>
      </c>
      <c r="H36" s="89" t="e">
        <f t="shared" si="4"/>
        <v>#NUM!</v>
      </c>
      <c r="I36" s="92" t="e">
        <f t="shared" si="5"/>
        <v>#NUM!</v>
      </c>
      <c r="J36" s="93" t="e">
        <f t="shared" si="6"/>
        <v>#NUM!</v>
      </c>
      <c r="K36" s="94" t="e">
        <f t="shared" si="7"/>
        <v>#NUM!</v>
      </c>
      <c r="L36" s="92" t="e">
        <f t="shared" si="8"/>
        <v>#NUM!</v>
      </c>
      <c r="M36" s="93" t="e">
        <f t="shared" si="9"/>
        <v>#NUM!</v>
      </c>
      <c r="N36" s="95">
        <v>14</v>
      </c>
      <c r="O36" s="96" t="e">
        <f t="shared" si="10"/>
        <v>#NUM!</v>
      </c>
      <c r="P36" s="97" t="e">
        <f t="shared" si="11"/>
        <v>#NUM!</v>
      </c>
      <c r="Q36" s="98" t="e">
        <f t="shared" si="12"/>
        <v>#NUM!</v>
      </c>
      <c r="W36" s="4">
        <v>2.4</v>
      </c>
      <c r="X36" s="4" t="e">
        <f t="shared" si="21"/>
        <v>#NUM!</v>
      </c>
      <c r="Y36" s="4" t="e">
        <f t="shared" si="18"/>
        <v>#NUM!</v>
      </c>
      <c r="Z36" s="4" t="e">
        <f t="shared" si="19"/>
        <v>#NUM!</v>
      </c>
      <c r="AA36" s="4" t="e">
        <f t="shared" si="22"/>
        <v>#NUM!</v>
      </c>
      <c r="AB36" s="4" t="e">
        <f t="shared" si="23"/>
        <v>#NUM!</v>
      </c>
      <c r="AC36" s="4" t="e">
        <f t="shared" si="24"/>
        <v>#NUM!</v>
      </c>
      <c r="AD36" s="4" t="e">
        <f t="shared" si="25"/>
        <v>#NUM!</v>
      </c>
      <c r="AE36" s="4" t="e">
        <f t="shared" si="26"/>
        <v>#NUM!</v>
      </c>
      <c r="AF36" s="4" t="e">
        <f t="shared" si="27"/>
        <v>#NUM!</v>
      </c>
      <c r="AG36" s="4" t="e">
        <f t="shared" si="28"/>
        <v>#NUM!</v>
      </c>
      <c r="AH36" s="4" t="e">
        <f t="shared" si="20"/>
        <v>#NUM!</v>
      </c>
      <c r="AI36" s="4" t="e">
        <f t="shared" si="29"/>
        <v>#NUM!</v>
      </c>
    </row>
    <row r="37" spans="1:36" ht="15.75" customHeight="1" thickBot="1">
      <c r="A37" s="87">
        <f t="shared" si="30"/>
        <v>1</v>
      </c>
      <c r="B37" s="37">
        <v>-2</v>
      </c>
      <c r="C37" s="88">
        <f t="shared" si="0"/>
        <v>-1.8139613823999999E-2</v>
      </c>
      <c r="D37" s="89">
        <f t="shared" si="1"/>
        <v>-7.008317914987283E-3</v>
      </c>
      <c r="E37" s="90">
        <f t="shared" si="2"/>
        <v>101.93549487919999</v>
      </c>
      <c r="F37" s="91" t="e">
        <f t="shared" si="17"/>
        <v>#NUM!</v>
      </c>
      <c r="G37" s="88" t="e">
        <f t="shared" si="3"/>
        <v>#NUM!</v>
      </c>
      <c r="H37" s="89" t="e">
        <f t="shared" si="4"/>
        <v>#NUM!</v>
      </c>
      <c r="I37" s="92" t="e">
        <f t="shared" si="5"/>
        <v>#NUM!</v>
      </c>
      <c r="J37" s="93" t="e">
        <f t="shared" si="6"/>
        <v>#NUM!</v>
      </c>
      <c r="K37" s="94" t="e">
        <f t="shared" si="7"/>
        <v>#NUM!</v>
      </c>
      <c r="L37" s="92" t="e">
        <f t="shared" si="8"/>
        <v>#NUM!</v>
      </c>
      <c r="M37" s="93" t="e">
        <f t="shared" si="9"/>
        <v>#NUM!</v>
      </c>
      <c r="N37" s="95">
        <v>15</v>
      </c>
      <c r="O37" s="96" t="e">
        <f t="shared" si="10"/>
        <v>#NUM!</v>
      </c>
      <c r="P37" s="97" t="e">
        <f t="shared" si="11"/>
        <v>#NUM!</v>
      </c>
      <c r="Q37" s="98" t="e">
        <f t="shared" si="12"/>
        <v>#NUM!</v>
      </c>
      <c r="W37" s="4">
        <v>2.4500000000000002</v>
      </c>
      <c r="X37" s="4" t="e">
        <f>$Y$3-$X$3*B39/100-AB36+AC36*B39/100</f>
        <v>#NUM!</v>
      </c>
      <c r="Y37" s="4" t="e">
        <f t="shared" si="18"/>
        <v>#NUM!</v>
      </c>
      <c r="Z37" s="4" t="e">
        <f t="shared" si="19"/>
        <v>#NUM!</v>
      </c>
      <c r="AA37" s="4" t="e">
        <f>Z37*F39/100</f>
        <v>#NUM!</v>
      </c>
      <c r="AB37" s="4" t="e">
        <f t="shared" si="23"/>
        <v>#NUM!</v>
      </c>
      <c r="AC37" s="4" t="e">
        <f t="shared" si="24"/>
        <v>#NUM!</v>
      </c>
      <c r="AD37" s="4" t="e">
        <f t="shared" si="25"/>
        <v>#NUM!</v>
      </c>
      <c r="AE37" s="4" t="e">
        <f t="shared" si="26"/>
        <v>#NUM!</v>
      </c>
      <c r="AF37" s="4" t="e">
        <f t="shared" si="27"/>
        <v>#NUM!</v>
      </c>
      <c r="AG37" s="4" t="e">
        <f t="shared" si="28"/>
        <v>#NUM!</v>
      </c>
      <c r="AH37" s="4" t="e">
        <f t="shared" si="20"/>
        <v>#NUM!</v>
      </c>
      <c r="AI37" s="4" t="e">
        <f t="shared" si="29"/>
        <v>#NUM!</v>
      </c>
    </row>
    <row r="38" spans="1:36" ht="15.75" customHeight="1" thickBot="1">
      <c r="A38" s="87"/>
      <c r="B38" s="37"/>
      <c r="C38" s="88"/>
      <c r="D38" s="89"/>
      <c r="E38" s="90"/>
      <c r="F38" s="91"/>
      <c r="G38" s="88"/>
      <c r="H38" s="89"/>
      <c r="I38" s="92"/>
      <c r="J38" s="93"/>
      <c r="K38" s="94"/>
      <c r="L38" s="92"/>
      <c r="M38" s="93"/>
      <c r="N38" s="95"/>
      <c r="O38" s="96"/>
      <c r="P38" s="97"/>
      <c r="Q38" s="98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</row>
    <row r="39" spans="1:36" ht="15.75" customHeight="1" thickBot="1">
      <c r="A39" s="87">
        <f>'Количество переиспарений'!C9</f>
        <v>1</v>
      </c>
      <c r="B39" s="53">
        <f>'Количество переиспарений'!C11</f>
        <v>40</v>
      </c>
      <c r="C39" s="88">
        <f t="shared" si="0"/>
        <v>0.33280539199999998</v>
      </c>
      <c r="D39" s="89">
        <f t="shared" si="1"/>
        <v>0.16307406180456419</v>
      </c>
      <c r="E39" s="90">
        <f t="shared" si="2"/>
        <v>84.142140800000007</v>
      </c>
      <c r="F39" s="91">
        <f t="shared" si="17"/>
        <v>79.220478890794155</v>
      </c>
      <c r="G39" s="88">
        <f t="shared" si="3"/>
        <v>0.72690535900275011</v>
      </c>
      <c r="H39" s="89">
        <f t="shared" si="4"/>
        <v>0.50974142340279371</v>
      </c>
      <c r="I39" s="92">
        <f t="shared" si="5"/>
        <v>2.9320918494608006</v>
      </c>
      <c r="J39" s="93">
        <f t="shared" si="6"/>
        <v>0.81446995818355572</v>
      </c>
      <c r="K39" s="94">
        <f t="shared" si="7"/>
        <v>2662.9782532151557</v>
      </c>
      <c r="L39" s="92">
        <f t="shared" si="8"/>
        <v>3.5521572048668926</v>
      </c>
      <c r="M39" s="93">
        <f t="shared" si="9"/>
        <v>0.98671033468524794</v>
      </c>
      <c r="N39" s="95">
        <v>16</v>
      </c>
      <c r="O39" s="96">
        <f t="shared" si="10"/>
        <v>-0.77799017469581921</v>
      </c>
      <c r="P39" s="97">
        <f t="shared" si="11"/>
        <v>2.8140359486494</v>
      </c>
      <c r="Q39" s="98">
        <f t="shared" si="12"/>
        <v>2.8959925374595046</v>
      </c>
      <c r="W39" s="4">
        <v>2.5</v>
      </c>
      <c r="X39" s="4" t="e">
        <f>$Y$3-$X$3*B41/100-AB37+AC37*B41/100</f>
        <v>#NUM!</v>
      </c>
      <c r="Y39" s="4">
        <f t="shared" si="18"/>
        <v>0.39220478890794153</v>
      </c>
      <c r="Z39" s="4" t="e">
        <f t="shared" si="19"/>
        <v>#NUM!</v>
      </c>
      <c r="AA39" s="4" t="e">
        <f>Z39*F41/100</f>
        <v>#NUM!</v>
      </c>
      <c r="AB39" s="4" t="e">
        <f>AA39+AB37</f>
        <v>#NUM!</v>
      </c>
      <c r="AC39" s="4" t="e">
        <f>Z39+AC37</f>
        <v>#NUM!</v>
      </c>
      <c r="AD39" s="4" t="e">
        <f t="shared" si="25"/>
        <v>#NUM!</v>
      </c>
      <c r="AE39" s="4" t="e">
        <f t="shared" si="26"/>
        <v>#NUM!</v>
      </c>
      <c r="AF39" s="4" t="e">
        <f>W39*AH37</f>
        <v>#NUM!</v>
      </c>
      <c r="AG39" s="4" t="e">
        <f t="shared" si="28"/>
        <v>#NUM!</v>
      </c>
      <c r="AH39" s="4" t="e">
        <f t="shared" si="20"/>
        <v>#NUM!</v>
      </c>
      <c r="AI39" s="4" t="e">
        <f>AI37-AG39</f>
        <v>#NUM!</v>
      </c>
    </row>
    <row r="40" spans="1:36" ht="15.75" customHeight="1" thickBot="1">
      <c r="A40" s="87"/>
      <c r="B40" s="53"/>
      <c r="C40" s="88"/>
      <c r="D40" s="89"/>
      <c r="E40" s="90"/>
      <c r="F40" s="91"/>
      <c r="G40" s="88"/>
      <c r="H40" s="89"/>
      <c r="I40" s="92"/>
      <c r="J40" s="93"/>
      <c r="K40" s="94"/>
      <c r="L40" s="92"/>
      <c r="M40" s="93"/>
      <c r="N40" s="95"/>
      <c r="O40" s="96"/>
      <c r="P40" s="97"/>
      <c r="Q40" s="98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</row>
    <row r="41" spans="1:36" ht="15.75" customHeight="1" thickBot="1">
      <c r="A41" s="118">
        <f>'Методика АлексеяТ'!C11</f>
        <v>1</v>
      </c>
      <c r="B41" s="37">
        <f>'Методика АлексеяТ'!C13</f>
        <v>40</v>
      </c>
      <c r="C41" s="88">
        <f t="shared" si="0"/>
        <v>0.33280539199999998</v>
      </c>
      <c r="D41" s="89">
        <f t="shared" si="1"/>
        <v>0.16307406180456419</v>
      </c>
      <c r="E41" s="90">
        <f t="shared" si="2"/>
        <v>84.142140800000007</v>
      </c>
      <c r="F41" s="91">
        <f t="shared" si="17"/>
        <v>79.220478890794155</v>
      </c>
      <c r="G41" s="88">
        <f t="shared" si="3"/>
        <v>0.72690535900275011</v>
      </c>
      <c r="H41" s="89">
        <f t="shared" si="4"/>
        <v>0.50974142340279371</v>
      </c>
      <c r="I41" s="92">
        <f t="shared" si="5"/>
        <v>2.9320918494608006</v>
      </c>
      <c r="J41" s="93">
        <f t="shared" si="6"/>
        <v>0.81446995818355572</v>
      </c>
      <c r="K41" s="94">
        <f t="shared" si="7"/>
        <v>2662.9782532151557</v>
      </c>
      <c r="L41" s="92">
        <f t="shared" si="8"/>
        <v>3.5521572048668926</v>
      </c>
      <c r="M41" s="93">
        <f t="shared" si="9"/>
        <v>0.98671033468524794</v>
      </c>
      <c r="N41" s="95">
        <v>17</v>
      </c>
      <c r="O41" s="96">
        <f t="shared" si="10"/>
        <v>-0.79104957618430038</v>
      </c>
      <c r="P41" s="97">
        <f t="shared" si="11"/>
        <v>2.8140359486494</v>
      </c>
      <c r="Q41" s="98">
        <f t="shared" si="12"/>
        <v>2.8959925374595046</v>
      </c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</row>
    <row r="42" spans="1:36" ht="14.25" customHeight="1">
      <c r="A42" s="119" t="s">
        <v>32</v>
      </c>
      <c r="B42" s="120">
        <v>70</v>
      </c>
      <c r="C42" s="121"/>
      <c r="D42" s="122"/>
      <c r="E42" s="123"/>
      <c r="F42" s="124"/>
      <c r="G42" s="121"/>
      <c r="H42" s="122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</row>
    <row r="43" spans="1:36" ht="14.25" customHeight="1">
      <c r="A43" s="125" t="s">
        <v>33</v>
      </c>
      <c r="B43" s="126">
        <f>B41*B42/100</f>
        <v>28</v>
      </c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</row>
    <row r="44" spans="1:36" ht="14.25" customHeight="1">
      <c r="A44" s="125" t="s">
        <v>34</v>
      </c>
      <c r="C44" s="127">
        <f>B43/P41/24</f>
        <v>0.41458840183850881</v>
      </c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</row>
    <row r="45" spans="1:36" ht="14.25" customHeight="1">
      <c r="A45" s="119" t="s">
        <v>35</v>
      </c>
      <c r="B45" s="119" t="s">
        <v>36</v>
      </c>
      <c r="C45" s="128">
        <v>0.03</v>
      </c>
      <c r="E45" s="133">
        <v>45</v>
      </c>
      <c r="W45" s="4"/>
    </row>
    <row r="46" spans="1:36" ht="14.25" customHeight="1">
      <c r="A46" s="119"/>
      <c r="B46" s="119" t="s">
        <v>37</v>
      </c>
      <c r="C46" s="3">
        <f>B43*C45*1000</f>
        <v>840</v>
      </c>
      <c r="E46" s="131">
        <f>E45/720/2</f>
        <v>3.125E-2</v>
      </c>
      <c r="W46" s="4"/>
    </row>
    <row r="47" spans="1:36" ht="14.25" customHeight="1">
      <c r="A47" s="119" t="s">
        <v>38</v>
      </c>
      <c r="C47" s="129">
        <f>C46/(C44*24)</f>
        <v>84.42107845948199</v>
      </c>
      <c r="W47" s="4"/>
    </row>
    <row r="48" spans="1:36" ht="14.25" customHeight="1">
      <c r="W48" s="4"/>
    </row>
    <row r="49" spans="1:23" ht="14.25" customHeight="1">
      <c r="A49" s="119" t="s">
        <v>38</v>
      </c>
      <c r="C49" s="130">
        <v>200</v>
      </c>
      <c r="W49" s="4"/>
    </row>
    <row r="50" spans="1:23" ht="14.25" customHeight="1">
      <c r="A50" s="119" t="s">
        <v>39</v>
      </c>
      <c r="C50" s="131">
        <f>C46/C49/24</f>
        <v>0.17500000000000002</v>
      </c>
      <c r="W50" s="4"/>
    </row>
    <row r="51" spans="1:23" ht="14.25" customHeight="1">
      <c r="A51" s="119" t="s">
        <v>40</v>
      </c>
      <c r="C51" s="132">
        <f>C50/C44</f>
        <v>0.42210539229741001</v>
      </c>
      <c r="W51" s="4"/>
    </row>
    <row r="52" spans="1:23" ht="14.25" customHeight="1">
      <c r="W52" s="4"/>
    </row>
    <row r="53" spans="1:23" ht="14.25" customHeight="1">
      <c r="B53" s="125" t="s">
        <v>62</v>
      </c>
      <c r="W53" s="4"/>
    </row>
    <row r="54" spans="1:23" ht="14.25" customHeight="1">
      <c r="W54" s="4"/>
    </row>
    <row r="55" spans="1:23" ht="14.25" customHeight="1">
      <c r="W55" s="4">
        <v>2.2999999999999998</v>
      </c>
    </row>
    <row r="56" spans="1:23" ht="14.25" customHeight="1"/>
    <row r="57" spans="1:23" ht="14.25" customHeight="1"/>
    <row r="58" spans="1:23" ht="14.25" customHeight="1"/>
    <row r="59" spans="1:23" ht="14.25" customHeight="1"/>
    <row r="60" spans="1:23" ht="14.25" customHeight="1"/>
    <row r="61" spans="1:23" ht="14.25" customHeight="1"/>
    <row r="62" spans="1:23" ht="14.25" customHeight="1"/>
    <row r="63" spans="1:23" ht="14.25" customHeight="1"/>
    <row r="64" spans="1:23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mergeCells count="19">
    <mergeCell ref="L2:M2"/>
    <mergeCell ref="N2:O2"/>
    <mergeCell ref="S2:S3"/>
    <mergeCell ref="A1:M1"/>
    <mergeCell ref="P1:Q2"/>
    <mergeCell ref="S1:T1"/>
    <mergeCell ref="U1:V1"/>
    <mergeCell ref="A2:A3"/>
    <mergeCell ref="B2:B3"/>
    <mergeCell ref="C2:C3"/>
    <mergeCell ref="D2:D3"/>
    <mergeCell ref="E2:E3"/>
    <mergeCell ref="F2:F3"/>
    <mergeCell ref="T2:T3"/>
    <mergeCell ref="U2:U3"/>
    <mergeCell ref="V2:V3"/>
    <mergeCell ref="G2:G3"/>
    <mergeCell ref="H2:H3"/>
    <mergeCell ref="I2:J2"/>
  </mergeCells>
  <pageMargins left="0.7" right="0.7" top="0.75" bottom="0.75" header="0" footer="0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7"/>
  <sheetViews>
    <sheetView workbookViewId="0">
      <selection activeCell="C17" sqref="C17"/>
    </sheetView>
  </sheetViews>
  <sheetFormatPr defaultRowHeight="15"/>
  <cols>
    <col min="1" max="1" width="39.42578125" customWidth="1"/>
    <col min="3" max="3" width="10.140625" customWidth="1"/>
  </cols>
  <sheetData>
    <row r="1" spans="1:4">
      <c r="A1" s="134" t="s">
        <v>0</v>
      </c>
    </row>
    <row r="2" spans="1:4">
      <c r="A2" s="134"/>
    </row>
    <row r="3" spans="1:4">
      <c r="A3" s="134" t="s">
        <v>55</v>
      </c>
    </row>
    <row r="4" spans="1:4">
      <c r="A4" s="137" t="s">
        <v>56</v>
      </c>
    </row>
    <row r="5" spans="1:4">
      <c r="A5" s="137" t="s">
        <v>58</v>
      </c>
    </row>
    <row r="6" spans="1:4">
      <c r="A6" s="137" t="s">
        <v>59</v>
      </c>
    </row>
    <row r="7" spans="1:4">
      <c r="A7" s="134" t="s">
        <v>57</v>
      </c>
    </row>
    <row r="8" spans="1:4">
      <c r="A8" s="134" t="s">
        <v>63</v>
      </c>
    </row>
    <row r="9" spans="1:4">
      <c r="A9" s="137"/>
    </row>
    <row r="10" spans="1:4" ht="15.75">
      <c r="A10" s="136" t="s">
        <v>60</v>
      </c>
    </row>
    <row r="11" spans="1:4">
      <c r="A11" s="185" t="s">
        <v>41</v>
      </c>
      <c r="B11" s="186" t="s">
        <v>3</v>
      </c>
      <c r="C11" s="187">
        <v>1</v>
      </c>
    </row>
    <row r="12" spans="1:4">
      <c r="A12" s="185" t="s">
        <v>42</v>
      </c>
      <c r="B12" s="186" t="s">
        <v>43</v>
      </c>
      <c r="C12" s="187">
        <v>20</v>
      </c>
    </row>
    <row r="13" spans="1:4">
      <c r="A13" s="185" t="s">
        <v>44</v>
      </c>
      <c r="B13" s="186" t="s">
        <v>45</v>
      </c>
      <c r="C13" s="187">
        <v>40</v>
      </c>
    </row>
    <row r="14" spans="1:4">
      <c r="A14" s="185" t="s">
        <v>33</v>
      </c>
      <c r="B14" s="188">
        <v>1</v>
      </c>
      <c r="C14" s="184">
        <f>IF(C13&lt;10,'генер. спирт. пара'!B53,IF('Методика АлексеяТ'!C13&gt;97.17,'генер. спирт. пара'!B53,C12*C13/100))</f>
        <v>8</v>
      </c>
    </row>
    <row r="15" spans="1:4">
      <c r="A15" s="185" t="s">
        <v>61</v>
      </c>
      <c r="B15" s="186" t="s">
        <v>46</v>
      </c>
      <c r="C15" s="189">
        <f>C14/'генер. спирт. пара'!P41/24</f>
        <v>0.1184538290967168</v>
      </c>
    </row>
    <row r="16" spans="1:4">
      <c r="A16" s="190" t="s">
        <v>47</v>
      </c>
      <c r="B16" s="191" t="s">
        <v>48</v>
      </c>
      <c r="C16" s="187">
        <v>0</v>
      </c>
      <c r="D16" s="135"/>
    </row>
    <row r="17" spans="1:4">
      <c r="A17" s="190" t="s">
        <v>49</v>
      </c>
      <c r="B17" s="191" t="s">
        <v>50</v>
      </c>
      <c r="C17" s="195">
        <v>0.03</v>
      </c>
      <c r="D17" s="135"/>
    </row>
    <row r="18" spans="1:4">
      <c r="A18" s="190" t="s">
        <v>51</v>
      </c>
      <c r="B18" s="190" t="s">
        <v>52</v>
      </c>
      <c r="C18" s="192">
        <f>C14*C17*1000</f>
        <v>240</v>
      </c>
      <c r="D18" s="135"/>
    </row>
    <row r="19" spans="1:4" ht="30.75" customHeight="1">
      <c r="A19" s="193" t="s">
        <v>54</v>
      </c>
      <c r="B19" s="190" t="s">
        <v>53</v>
      </c>
      <c r="C19" s="194">
        <f>C18/((C15-C16/720/2)*24)</f>
        <v>84.421078459482004</v>
      </c>
      <c r="D19" s="135"/>
    </row>
    <row r="20" spans="1:4">
      <c r="A20" s="135"/>
      <c r="B20" s="135"/>
      <c r="C20" s="135"/>
      <c r="D20" s="135"/>
    </row>
    <row r="21" spans="1:4">
      <c r="A21" s="135"/>
      <c r="B21" s="135"/>
      <c r="C21" s="135"/>
      <c r="D21" s="135"/>
    </row>
    <row r="22" spans="1:4">
      <c r="A22" s="135"/>
      <c r="B22" s="135"/>
      <c r="C22" s="135"/>
      <c r="D22" s="135"/>
    </row>
    <row r="23" spans="1:4">
      <c r="A23" s="135"/>
      <c r="B23" s="135"/>
      <c r="C23" s="135"/>
      <c r="D23" s="135"/>
    </row>
    <row r="24" spans="1:4">
      <c r="A24" s="135"/>
      <c r="B24" s="135"/>
      <c r="C24" s="135"/>
      <c r="D24" s="135"/>
    </row>
    <row r="25" spans="1:4">
      <c r="A25" s="135"/>
      <c r="B25" s="135"/>
      <c r="C25" s="135"/>
      <c r="D25" s="135"/>
    </row>
    <row r="26" spans="1:4">
      <c r="A26" s="135"/>
      <c r="B26" s="135"/>
      <c r="C26" s="135"/>
      <c r="D26" s="135"/>
    </row>
    <row r="27" spans="1:4">
      <c r="A27" s="135"/>
      <c r="B27" s="135"/>
      <c r="C27" s="135"/>
      <c r="D27" s="135"/>
    </row>
  </sheetData>
  <dataValidations count="2">
    <dataValidation type="custom" allowBlank="1" showInputMessage="1" showErrorMessage="1" sqref="C14">
      <formula1>":"</formula1>
    </dataValidation>
    <dataValidation type="custom" allowBlank="1" showInputMessage="1" showErrorMessage="1" sqref="C17">
      <formula1>";"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D20"/>
  <sheetViews>
    <sheetView tabSelected="1" workbookViewId="0">
      <selection activeCell="H5" sqref="H5"/>
    </sheetView>
  </sheetViews>
  <sheetFormatPr defaultRowHeight="15"/>
  <cols>
    <col min="1" max="1" width="30.42578125" customWidth="1"/>
    <col min="2" max="2" width="11.42578125" customWidth="1"/>
  </cols>
  <sheetData>
    <row r="2" spans="1:4">
      <c r="A2" s="134" t="s">
        <v>0</v>
      </c>
    </row>
    <row r="3" spans="1:4">
      <c r="A3" s="134"/>
    </row>
    <row r="4" spans="1:4">
      <c r="A4" s="134" t="s">
        <v>55</v>
      </c>
    </row>
    <row r="5" spans="1:4">
      <c r="A5" s="134"/>
    </row>
    <row r="6" spans="1:4">
      <c r="A6" s="134" t="s">
        <v>63</v>
      </c>
    </row>
    <row r="8" spans="1:4" ht="15.75">
      <c r="A8" s="166" t="s">
        <v>64</v>
      </c>
      <c r="B8" s="167"/>
      <c r="C8" s="168"/>
      <c r="D8" s="165"/>
    </row>
    <row r="9" spans="1:4">
      <c r="A9" s="169" t="s">
        <v>41</v>
      </c>
      <c r="B9" s="170" t="s">
        <v>3</v>
      </c>
      <c r="C9" s="171">
        <v>1</v>
      </c>
    </row>
    <row r="10" spans="1:4">
      <c r="A10" s="169" t="s">
        <v>42</v>
      </c>
      <c r="B10" s="170" t="s">
        <v>43</v>
      </c>
      <c r="C10" s="171">
        <v>20</v>
      </c>
    </row>
    <row r="11" spans="1:4">
      <c r="A11" s="169" t="s">
        <v>44</v>
      </c>
      <c r="B11" s="170" t="s">
        <v>45</v>
      </c>
      <c r="C11" s="171">
        <v>40</v>
      </c>
    </row>
    <row r="12" spans="1:4">
      <c r="A12" s="169" t="s">
        <v>33</v>
      </c>
      <c r="B12" s="172" t="s">
        <v>65</v>
      </c>
      <c r="C12" s="173">
        <f>IF(C11&lt;10,'генер. спирт. пара'!B53,IF('Количество переиспарений'!C11&gt;97.17,'генер. спирт. пара'!B53,C10*C11/100))</f>
        <v>8</v>
      </c>
    </row>
    <row r="13" spans="1:4">
      <c r="A13" s="169" t="s">
        <v>34</v>
      </c>
      <c r="B13" s="170" t="s">
        <v>46</v>
      </c>
      <c r="C13" s="174">
        <f>C12/'генер. спирт. пара'!P39/24</f>
        <v>0.1184538290967168</v>
      </c>
    </row>
    <row r="14" spans="1:4">
      <c r="A14" s="175" t="s">
        <v>47</v>
      </c>
      <c r="B14" s="176" t="s">
        <v>48</v>
      </c>
      <c r="C14" s="171">
        <v>30</v>
      </c>
    </row>
    <row r="15" spans="1:4">
      <c r="A15" s="175" t="s">
        <v>49</v>
      </c>
      <c r="B15" s="176" t="s">
        <v>50</v>
      </c>
      <c r="C15" s="177">
        <v>0.05</v>
      </c>
    </row>
    <row r="16" spans="1:4">
      <c r="A16" s="175" t="s">
        <v>51</v>
      </c>
      <c r="B16" s="175" t="s">
        <v>52</v>
      </c>
      <c r="C16" s="178">
        <f>C12*C15*1000</f>
        <v>400</v>
      </c>
    </row>
    <row r="17" spans="1:3" ht="18" customHeight="1">
      <c r="A17" s="179" t="s">
        <v>66</v>
      </c>
      <c r="B17" s="175" t="s">
        <v>53</v>
      </c>
      <c r="C17" s="171">
        <v>150</v>
      </c>
    </row>
    <row r="18" spans="1:3" ht="18" customHeight="1">
      <c r="A18" s="179" t="s">
        <v>67</v>
      </c>
      <c r="B18" s="180" t="s">
        <v>46</v>
      </c>
      <c r="C18" s="181">
        <f>C16/C17/24+C14/720/2</f>
        <v>0.13194444444444445</v>
      </c>
    </row>
    <row r="19" spans="1:3" ht="15" customHeight="1">
      <c r="A19" s="182" t="s">
        <v>68</v>
      </c>
      <c r="B19" s="183"/>
      <c r="C19" s="184">
        <f>ROUND(C18/C13,2)</f>
        <v>1.1100000000000001</v>
      </c>
    </row>
    <row r="20" spans="1:3">
      <c r="A20" s="182"/>
      <c r="B20" s="180"/>
      <c r="C20" s="180"/>
    </row>
  </sheetData>
  <mergeCells count="1">
    <mergeCell ref="A19:A20"/>
  </mergeCells>
  <dataValidations count="1">
    <dataValidation type="custom" allowBlank="1" showInputMessage="1" showErrorMessage="1" sqref="C12">
      <formula1>";"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генер. спирт. пара</vt:lpstr>
      <vt:lpstr>Методика АлексеяТ</vt:lpstr>
      <vt:lpstr>Количество переиспарений</vt:lpstr>
    </vt:vector>
  </TitlesOfParts>
  <Company>Дмитрий Щ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DD;Дмитрий Щ</dc:creator>
  <cp:lastModifiedBy>DD</cp:lastModifiedBy>
  <dcterms:created xsi:type="dcterms:W3CDTF">2025-04-22T06:20:54Z</dcterms:created>
  <dcterms:modified xsi:type="dcterms:W3CDTF">2025-06-06T06:55:46Z</dcterms:modified>
</cp:coreProperties>
</file>